
<file path=[Content_Types].xml><?xml version="1.0" encoding="utf-8"?>
<Types xmlns="http://schemas.openxmlformats.org/package/2006/content-types">
  <Override PartName="/xl/worksheets/sheet7.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10.xml" ContentType="application/vnd.openxmlformats-officedocument.spreadsheetml.worksheet+xml"/>
  <Override PartName="/xl/worksheets/sheet12.xml" ContentType="application/vnd.openxmlformats-officedocument.spreadsheetml.worksheet+xml"/>
  <Override PartName="/xl/worksheets/sheet4.xml" ContentType="application/vnd.openxmlformats-officedocument.spreadsheetml.worksheet+xml"/>
  <Default Extension="xml" ContentType="application/xml"/>
  <Override PartName="/xl/worksheets/sheet6.xml" ContentType="application/vnd.openxmlformats-officedocument.spreadsheetml.worksheet+xml"/>
  <Override PartName="/xl/worksheets/sheet14.xml" ContentType="application/vnd.openxmlformats-officedocument.spreadsheetml.worksheet+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Override PartName="/xl/worksheets/sheet3.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Override PartName="/xl/worksheets/sheet13.xml" ContentType="application/vnd.openxmlformats-officedocument.spreadsheetml.worksheet+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3500" yWindow="840" windowWidth="43300" windowHeight="23060"/>
  </bookViews>
  <sheets>
    <sheet name="CritterSheet" sheetId="1" r:id="rId1"/>
    <sheet name="CritterSheetBack" sheetId="2" r:id="rId2"/>
    <sheet name="Stat Bonuses" sheetId="4" r:id="rId3"/>
    <sheet name="Skills" sheetId="5" r:id="rId4"/>
    <sheet name="Armor" sheetId="6" r:id="rId5"/>
    <sheet name="Melee" sheetId="8" r:id="rId6"/>
    <sheet name="Distance" sheetId="7" r:id="rId7"/>
    <sheet name="SpecialAttacks" sheetId="15" r:id="rId8"/>
    <sheet name="Critters" sheetId="14" r:id="rId9"/>
    <sheet name="2300Critters" sheetId="18" r:id="rId10"/>
    <sheet name="Jorune" sheetId="17" r:id="rId11"/>
    <sheet name="D&amp;D Critters" sheetId="16" r:id="rId12"/>
    <sheet name="EDCritters" sheetId="13" r:id="rId13"/>
    <sheet name="SRCritters" sheetId="12" r:id="rId14"/>
    <sheet name="FrontEcho" sheetId="10" r:id="rId15"/>
    <sheet name="BackEcho" sheetId="11" r:id="rId16"/>
  </sheets>
  <definedNames>
    <definedName name="_xlnm.Print_Area" localSheetId="0">CritterSheet!$A$1:$N$51</definedName>
    <definedName name="_xlnm.Print_Area" localSheetId="1">CritterSheetBack!$A$1:$M$51</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AD3" i="18"/>
  <c r="AD4"/>
  <c r="AD5"/>
  <c r="AD6"/>
  <c r="AD7"/>
  <c r="AD8"/>
  <c r="AD9"/>
  <c r="AD10"/>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D48"/>
  <c r="AD49"/>
  <c r="AD50"/>
  <c r="AD51"/>
  <c r="AD52"/>
  <c r="AD53"/>
  <c r="AD54"/>
  <c r="AD55"/>
  <c r="AD56"/>
  <c r="AD57"/>
  <c r="AD58"/>
  <c r="AD59"/>
  <c r="AD60"/>
  <c r="AD61"/>
  <c r="AD62"/>
  <c r="AD63"/>
  <c r="AD64"/>
  <c r="AD65"/>
  <c r="AD66"/>
  <c r="AD67"/>
  <c r="AD68"/>
  <c r="AD69"/>
  <c r="AD70"/>
  <c r="AD71"/>
  <c r="AD72"/>
  <c r="AD73"/>
  <c r="AD74"/>
  <c r="AD75"/>
  <c r="AD76"/>
  <c r="AD77"/>
  <c r="AD78"/>
  <c r="AD79"/>
  <c r="AD80"/>
  <c r="AD81"/>
  <c r="AD82"/>
  <c r="AD83"/>
  <c r="AD84"/>
  <c r="AD85"/>
  <c r="AD86"/>
  <c r="AD87"/>
  <c r="AD88"/>
  <c r="AD89"/>
  <c r="AD90"/>
  <c r="AD91"/>
  <c r="AD92"/>
  <c r="AD93"/>
  <c r="AD94"/>
  <c r="AD95"/>
  <c r="AD96"/>
  <c r="AD97"/>
  <c r="AD98"/>
  <c r="AD99"/>
  <c r="AD100"/>
  <c r="AD101"/>
  <c r="AD102"/>
  <c r="AD103"/>
  <c r="AD104"/>
  <c r="AD105"/>
  <c r="AD106"/>
  <c r="AD107"/>
  <c r="AD108"/>
  <c r="AD109"/>
  <c r="AD110"/>
  <c r="AD111"/>
  <c r="AD112"/>
  <c r="AD113"/>
  <c r="AD114"/>
  <c r="AD115"/>
  <c r="AD116"/>
  <c r="AD117"/>
  <c r="AD118"/>
  <c r="AD119"/>
  <c r="AD120"/>
  <c r="AD121"/>
  <c r="AD122"/>
  <c r="AD123"/>
  <c r="AD124"/>
  <c r="AD125"/>
  <c r="AD126"/>
  <c r="AD127"/>
  <c r="AD128"/>
  <c r="AD129"/>
  <c r="AD130"/>
  <c r="AD131"/>
  <c r="AD132"/>
  <c r="AD133"/>
  <c r="AD134"/>
  <c r="AD135"/>
  <c r="AD136"/>
  <c r="AD137"/>
  <c r="AD138"/>
  <c r="AD139"/>
  <c r="AD140"/>
  <c r="AD141"/>
  <c r="AD142"/>
  <c r="AD143"/>
  <c r="AD144"/>
  <c r="AD145"/>
  <c r="AD146"/>
  <c r="AD147"/>
  <c r="AD148"/>
  <c r="AD149"/>
  <c r="AD150"/>
  <c r="AD151"/>
  <c r="AD152"/>
  <c r="AD153"/>
  <c r="AD154"/>
  <c r="AD155"/>
  <c r="AD156"/>
  <c r="AD157"/>
  <c r="AD158"/>
  <c r="AD159"/>
  <c r="AD160"/>
  <c r="AD161"/>
  <c r="AD162"/>
  <c r="AD163"/>
  <c r="AD164"/>
  <c r="AD165"/>
  <c r="AD166"/>
  <c r="AD167"/>
  <c r="AD168"/>
  <c r="AD169"/>
  <c r="AD170"/>
  <c r="AD171"/>
  <c r="AD172"/>
  <c r="AD173"/>
  <c r="AD174"/>
  <c r="AD175"/>
  <c r="AD176"/>
  <c r="AD177"/>
  <c r="AD178"/>
  <c r="AD179"/>
  <c r="AD180"/>
  <c r="AD181"/>
  <c r="AD182"/>
  <c r="AD183"/>
  <c r="AD184"/>
  <c r="AD185"/>
  <c r="AD186"/>
  <c r="AD187"/>
  <c r="AD188"/>
  <c r="AD189"/>
  <c r="AD190"/>
  <c r="AD191"/>
  <c r="AD192"/>
  <c r="AD193"/>
  <c r="AD194"/>
  <c r="AD195"/>
  <c r="AD196"/>
  <c r="AD197"/>
  <c r="AD198"/>
  <c r="AD2"/>
  <c r="B159"/>
  <c r="C159"/>
  <c r="D159"/>
  <c r="O159"/>
  <c r="P159"/>
  <c r="Q159"/>
  <c r="R159"/>
  <c r="S159"/>
  <c r="T159"/>
  <c r="U159"/>
  <c r="V159"/>
  <c r="AE159"/>
  <c r="AX159"/>
  <c r="AY159"/>
  <c r="AE157"/>
  <c r="AX51"/>
  <c r="AY51"/>
  <c r="AE51"/>
  <c r="B51"/>
  <c r="C51"/>
  <c r="D51"/>
  <c r="O51"/>
  <c r="P51"/>
  <c r="Q51"/>
  <c r="R51"/>
  <c r="S51"/>
  <c r="T51"/>
  <c r="U51"/>
  <c r="V51"/>
  <c r="O39"/>
  <c r="P39"/>
  <c r="AX20"/>
  <c r="AY20"/>
  <c r="AX21"/>
  <c r="AY21"/>
  <c r="AX22"/>
  <c r="AY22"/>
  <c r="AX23"/>
  <c r="AY23"/>
  <c r="O20"/>
  <c r="P20"/>
  <c r="Q20"/>
  <c r="R20"/>
  <c r="S20"/>
  <c r="T20"/>
  <c r="U20"/>
  <c r="V20"/>
  <c r="O21"/>
  <c r="P21"/>
  <c r="Q21"/>
  <c r="R21"/>
  <c r="S21"/>
  <c r="T21"/>
  <c r="U21"/>
  <c r="V21"/>
  <c r="O22"/>
  <c r="P22"/>
  <c r="Q22"/>
  <c r="R22"/>
  <c r="S22"/>
  <c r="T22"/>
  <c r="U22"/>
  <c r="V22"/>
  <c r="O23"/>
  <c r="P23"/>
  <c r="Q23"/>
  <c r="R23"/>
  <c r="S23"/>
  <c r="T23"/>
  <c r="U23"/>
  <c r="V23"/>
  <c r="O19"/>
  <c r="AE20"/>
  <c r="AE21"/>
  <c r="AE22"/>
  <c r="AE23"/>
  <c r="B20"/>
  <c r="C20"/>
  <c r="D20"/>
  <c r="B21"/>
  <c r="C21"/>
  <c r="D21"/>
  <c r="B22"/>
  <c r="C22"/>
  <c r="D22"/>
  <c r="B23"/>
  <c r="C23"/>
  <c r="D23"/>
  <c r="AX7"/>
  <c r="AY7"/>
  <c r="AX8"/>
  <c r="AY8"/>
  <c r="AX9"/>
  <c r="AY9"/>
  <c r="AX12"/>
  <c r="AY12"/>
  <c r="AX15"/>
  <c r="AY15"/>
  <c r="AX19"/>
  <c r="AY19"/>
  <c r="AX24"/>
  <c r="AY24"/>
  <c r="AX25"/>
  <c r="AY25"/>
  <c r="AX26"/>
  <c r="AY26"/>
  <c r="AX27"/>
  <c r="AY27"/>
  <c r="AX28"/>
  <c r="AY28"/>
  <c r="AX29"/>
  <c r="AY29"/>
  <c r="AX30"/>
  <c r="AY30"/>
  <c r="AX31"/>
  <c r="AY31"/>
  <c r="AX32"/>
  <c r="AY32"/>
  <c r="AX33"/>
  <c r="AY33"/>
  <c r="AX34"/>
  <c r="AY34"/>
  <c r="AX35"/>
  <c r="AY35"/>
  <c r="AX36"/>
  <c r="AY36"/>
  <c r="AX37"/>
  <c r="AY37"/>
  <c r="AX38"/>
  <c r="AY38"/>
  <c r="AX39"/>
  <c r="AY39"/>
  <c r="AX40"/>
  <c r="AY40"/>
  <c r="AX41"/>
  <c r="AY41"/>
  <c r="AX42"/>
  <c r="AY42"/>
  <c r="AX43"/>
  <c r="AY43"/>
  <c r="AX44"/>
  <c r="AY44"/>
  <c r="AX45"/>
  <c r="AY45"/>
  <c r="AX46"/>
  <c r="AY46"/>
  <c r="AX47"/>
  <c r="AY47"/>
  <c r="AX48"/>
  <c r="AY48"/>
  <c r="AX49"/>
  <c r="AY49"/>
  <c r="AX50"/>
  <c r="AY50"/>
  <c r="AX52"/>
  <c r="AY52"/>
  <c r="AX53"/>
  <c r="AY53"/>
  <c r="AX54"/>
  <c r="AY54"/>
  <c r="AX55"/>
  <c r="AY55"/>
  <c r="AX56"/>
  <c r="AY56"/>
  <c r="AX57"/>
  <c r="AY57"/>
  <c r="AX58"/>
  <c r="AY58"/>
  <c r="AX59"/>
  <c r="AY59"/>
  <c r="AX60"/>
  <c r="AY60"/>
  <c r="AX61"/>
  <c r="AY61"/>
  <c r="AX62"/>
  <c r="AY62"/>
  <c r="AX63"/>
  <c r="AY63"/>
  <c r="AX64"/>
  <c r="AY64"/>
  <c r="AX65"/>
  <c r="AY65"/>
  <c r="AX66"/>
  <c r="AY66"/>
  <c r="AX67"/>
  <c r="AY67"/>
  <c r="AX68"/>
  <c r="AY68"/>
  <c r="AX69"/>
  <c r="AY69"/>
  <c r="AX70"/>
  <c r="AY70"/>
  <c r="AX71"/>
  <c r="AY71"/>
  <c r="AX72"/>
  <c r="AY72"/>
  <c r="AX73"/>
  <c r="AY73"/>
  <c r="AX74"/>
  <c r="AY74"/>
  <c r="AX75"/>
  <c r="AY75"/>
  <c r="AX76"/>
  <c r="AY76"/>
  <c r="AX77"/>
  <c r="AY77"/>
  <c r="AX78"/>
  <c r="AY78"/>
  <c r="AX79"/>
  <c r="AY79"/>
  <c r="AX80"/>
  <c r="AY80"/>
  <c r="AX81"/>
  <c r="AY81"/>
  <c r="AX82"/>
  <c r="AY82"/>
  <c r="AX83"/>
  <c r="AY83"/>
  <c r="AX84"/>
  <c r="AY84"/>
  <c r="AX85"/>
  <c r="AY85"/>
  <c r="AX86"/>
  <c r="AY86"/>
  <c r="AX87"/>
  <c r="AY87"/>
  <c r="AX88"/>
  <c r="AY88"/>
  <c r="AX89"/>
  <c r="AY89"/>
  <c r="AX90"/>
  <c r="AY90"/>
  <c r="AX91"/>
  <c r="AY91"/>
  <c r="AX92"/>
  <c r="AY92"/>
  <c r="AX93"/>
  <c r="AY93"/>
  <c r="AX94"/>
  <c r="AY94"/>
  <c r="AX95"/>
  <c r="AY95"/>
  <c r="AX96"/>
  <c r="AY96"/>
  <c r="AX97"/>
  <c r="AY97"/>
  <c r="AX98"/>
  <c r="AY98"/>
  <c r="AX99"/>
  <c r="AY99"/>
  <c r="AX100"/>
  <c r="AY100"/>
  <c r="AX101"/>
  <c r="AY101"/>
  <c r="AX11"/>
  <c r="AY11"/>
  <c r="AX13"/>
  <c r="AY13"/>
  <c r="AX14"/>
  <c r="AY14"/>
  <c r="AX16"/>
  <c r="AY16"/>
  <c r="AX17"/>
  <c r="AY17"/>
  <c r="AX18"/>
  <c r="AY18"/>
  <c r="AX10"/>
  <c r="AY10"/>
  <c r="AX102"/>
  <c r="AY102"/>
  <c r="AX103"/>
  <c r="AY103"/>
  <c r="AX104"/>
  <c r="AY104"/>
  <c r="AX105"/>
  <c r="AY105"/>
  <c r="AX106"/>
  <c r="AY106"/>
  <c r="AX107"/>
  <c r="AY107"/>
  <c r="AX108"/>
  <c r="AY108"/>
  <c r="AX109"/>
  <c r="AY109"/>
  <c r="AX110"/>
  <c r="AY110"/>
  <c r="AX111"/>
  <c r="AY111"/>
  <c r="AX112"/>
  <c r="AY112"/>
  <c r="AX113"/>
  <c r="AY113"/>
  <c r="AX114"/>
  <c r="AY114"/>
  <c r="AX115"/>
  <c r="AY115"/>
  <c r="AX116"/>
  <c r="AY116"/>
  <c r="AX117"/>
  <c r="AY117"/>
  <c r="AX118"/>
  <c r="AY118"/>
  <c r="AX119"/>
  <c r="AY119"/>
  <c r="AX120"/>
  <c r="AY120"/>
  <c r="AX121"/>
  <c r="AY121"/>
  <c r="AX122"/>
  <c r="AY122"/>
  <c r="AX123"/>
  <c r="AY123"/>
  <c r="AX124"/>
  <c r="AY124"/>
  <c r="AX125"/>
  <c r="AY125"/>
  <c r="AX126"/>
  <c r="AY126"/>
  <c r="AX127"/>
  <c r="AY127"/>
  <c r="AX128"/>
  <c r="AY128"/>
  <c r="AX129"/>
  <c r="AY129"/>
  <c r="AX130"/>
  <c r="AY130"/>
  <c r="AX131"/>
  <c r="AY131"/>
  <c r="AX132"/>
  <c r="AY132"/>
  <c r="AX133"/>
  <c r="AY133"/>
  <c r="AX134"/>
  <c r="AY134"/>
  <c r="AX135"/>
  <c r="AY135"/>
  <c r="AX136"/>
  <c r="AY136"/>
  <c r="AX137"/>
  <c r="AY137"/>
  <c r="AX138"/>
  <c r="AY138"/>
  <c r="AX139"/>
  <c r="AY139"/>
  <c r="AX140"/>
  <c r="AY140"/>
  <c r="AX141"/>
  <c r="AY141"/>
  <c r="AX142"/>
  <c r="AY142"/>
  <c r="AX143"/>
  <c r="AY143"/>
  <c r="AX144"/>
  <c r="AY144"/>
  <c r="AX145"/>
  <c r="AY145"/>
  <c r="AX146"/>
  <c r="AY146"/>
  <c r="AX147"/>
  <c r="AY147"/>
  <c r="AX148"/>
  <c r="AY148"/>
  <c r="AX149"/>
  <c r="AY149"/>
  <c r="AX150"/>
  <c r="AY150"/>
  <c r="AX151"/>
  <c r="AY151"/>
  <c r="AX152"/>
  <c r="AY152"/>
  <c r="AX153"/>
  <c r="AY153"/>
  <c r="AX154"/>
  <c r="AY154"/>
  <c r="AX155"/>
  <c r="AY155"/>
  <c r="AX156"/>
  <c r="AY156"/>
  <c r="AX157"/>
  <c r="AY157"/>
  <c r="AX158"/>
  <c r="AY158"/>
  <c r="AX160"/>
  <c r="AY160"/>
  <c r="AX161"/>
  <c r="AY161"/>
  <c r="AX162"/>
  <c r="AY162"/>
  <c r="AX163"/>
  <c r="AY163"/>
  <c r="AX164"/>
  <c r="AY164"/>
  <c r="AX165"/>
  <c r="AY165"/>
  <c r="AX166"/>
  <c r="AY166"/>
  <c r="AX167"/>
  <c r="AY167"/>
  <c r="AX168"/>
  <c r="AY168"/>
  <c r="AX169"/>
  <c r="AY169"/>
  <c r="AX170"/>
  <c r="AY170"/>
  <c r="AX171"/>
  <c r="AY171"/>
  <c r="AX172"/>
  <c r="AY172"/>
  <c r="AX173"/>
  <c r="AY173"/>
  <c r="AX174"/>
  <c r="AY174"/>
  <c r="AX175"/>
  <c r="AY175"/>
  <c r="AX176"/>
  <c r="AY176"/>
  <c r="AX177"/>
  <c r="AY177"/>
  <c r="AX178"/>
  <c r="AY178"/>
  <c r="AX179"/>
  <c r="AY179"/>
  <c r="AX180"/>
  <c r="AY180"/>
  <c r="AX181"/>
  <c r="AY181"/>
  <c r="AX182"/>
  <c r="AY182"/>
  <c r="AX183"/>
  <c r="AY183"/>
  <c r="AX184"/>
  <c r="AY184"/>
  <c r="AX185"/>
  <c r="AY185"/>
  <c r="AX186"/>
  <c r="AY186"/>
  <c r="AX187"/>
  <c r="AY187"/>
  <c r="AX188"/>
  <c r="AY188"/>
  <c r="AX189"/>
  <c r="AY189"/>
  <c r="AX190"/>
  <c r="AY190"/>
  <c r="AX191"/>
  <c r="AY191"/>
  <c r="AX192"/>
  <c r="AY192"/>
  <c r="AX193"/>
  <c r="AY193"/>
  <c r="AX194"/>
  <c r="AY194"/>
  <c r="AX195"/>
  <c r="AY195"/>
  <c r="AX196"/>
  <c r="AY196"/>
  <c r="AX197"/>
  <c r="AY197"/>
  <c r="AX198"/>
  <c r="AY198"/>
  <c r="AE6"/>
  <c r="AE7"/>
  <c r="AE8"/>
  <c r="AE9"/>
  <c r="AE12"/>
  <c r="AE15"/>
  <c r="AE19"/>
  <c r="AE24"/>
  <c r="AE25"/>
  <c r="AE26"/>
  <c r="AE27"/>
  <c r="AE28"/>
  <c r="AE29"/>
  <c r="AE30"/>
  <c r="AE31"/>
  <c r="AE32"/>
  <c r="AE33"/>
  <c r="AE34"/>
  <c r="AE35"/>
  <c r="AE36"/>
  <c r="AE37"/>
  <c r="AE38"/>
  <c r="AE39"/>
  <c r="AE40"/>
  <c r="AE41"/>
  <c r="AE42"/>
  <c r="AE43"/>
  <c r="AE44"/>
  <c r="AE45"/>
  <c r="AE46"/>
  <c r="AE47"/>
  <c r="AE48"/>
  <c r="AE49"/>
  <c r="AE50"/>
  <c r="AE52"/>
  <c r="AE53"/>
  <c r="AE54"/>
  <c r="AE55"/>
  <c r="AE56"/>
  <c r="AE57"/>
  <c r="AE58"/>
  <c r="AE59"/>
  <c r="AE60"/>
  <c r="AE61"/>
  <c r="AE62"/>
  <c r="AE63"/>
  <c r="AE64"/>
  <c r="AE65"/>
  <c r="AE66"/>
  <c r="AE67"/>
  <c r="AE68"/>
  <c r="AE69"/>
  <c r="AE70"/>
  <c r="AE71"/>
  <c r="AE72"/>
  <c r="AE73"/>
  <c r="AE74"/>
  <c r="AE75"/>
  <c r="AE76"/>
  <c r="AE77"/>
  <c r="AE78"/>
  <c r="AE79"/>
  <c r="AE80"/>
  <c r="AE81"/>
  <c r="AE82"/>
  <c r="AE83"/>
  <c r="AE84"/>
  <c r="AE85"/>
  <c r="AE86"/>
  <c r="AE87"/>
  <c r="AE88"/>
  <c r="AE89"/>
  <c r="AE90"/>
  <c r="AE91"/>
  <c r="AE92"/>
  <c r="AE93"/>
  <c r="AE94"/>
  <c r="AE95"/>
  <c r="AE96"/>
  <c r="AE97"/>
  <c r="AE98"/>
  <c r="AE99"/>
  <c r="AE100"/>
  <c r="AE101"/>
  <c r="AE11"/>
  <c r="AE13"/>
  <c r="AE14"/>
  <c r="AE16"/>
  <c r="AE17"/>
  <c r="AE18"/>
  <c r="AE10"/>
  <c r="AE102"/>
  <c r="AE103"/>
  <c r="AE104"/>
  <c r="AE105"/>
  <c r="AE106"/>
  <c r="AE107"/>
  <c r="AE108"/>
  <c r="AE109"/>
  <c r="AE110"/>
  <c r="AE111"/>
  <c r="AE112"/>
  <c r="AE113"/>
  <c r="AE114"/>
  <c r="AE115"/>
  <c r="AE116"/>
  <c r="AE117"/>
  <c r="AE118"/>
  <c r="AE119"/>
  <c r="AE120"/>
  <c r="AE121"/>
  <c r="AE122"/>
  <c r="AE123"/>
  <c r="AE124"/>
  <c r="AE125"/>
  <c r="AE126"/>
  <c r="AE127"/>
  <c r="AE128"/>
  <c r="AE129"/>
  <c r="AE130"/>
  <c r="AE131"/>
  <c r="AE132"/>
  <c r="AE133"/>
  <c r="AE134"/>
  <c r="AE135"/>
  <c r="AE136"/>
  <c r="AE137"/>
  <c r="AE138"/>
  <c r="AE139"/>
  <c r="AE140"/>
  <c r="AE141"/>
  <c r="AE142"/>
  <c r="AE143"/>
  <c r="AE144"/>
  <c r="AE145"/>
  <c r="AE146"/>
  <c r="AE147"/>
  <c r="AE148"/>
  <c r="AE149"/>
  <c r="AE150"/>
  <c r="AE151"/>
  <c r="AE152"/>
  <c r="AE153"/>
  <c r="AE154"/>
  <c r="AE155"/>
  <c r="AE156"/>
  <c r="AE158"/>
  <c r="AE160"/>
  <c r="AE161"/>
  <c r="AE162"/>
  <c r="AE163"/>
  <c r="AE164"/>
  <c r="AE165"/>
  <c r="AE166"/>
  <c r="AE167"/>
  <c r="AE168"/>
  <c r="AE169"/>
  <c r="AE170"/>
  <c r="AE171"/>
  <c r="AE172"/>
  <c r="AE173"/>
  <c r="AE174"/>
  <c r="AE175"/>
  <c r="AE176"/>
  <c r="AE177"/>
  <c r="AE178"/>
  <c r="AE179"/>
  <c r="AE180"/>
  <c r="AE181"/>
  <c r="AE182"/>
  <c r="AE183"/>
  <c r="AE184"/>
  <c r="AE185"/>
  <c r="AE186"/>
  <c r="AE187"/>
  <c r="AE188"/>
  <c r="AE189"/>
  <c r="AE190"/>
  <c r="AE191"/>
  <c r="AE192"/>
  <c r="AE193"/>
  <c r="AE194"/>
  <c r="AE195"/>
  <c r="AE196"/>
  <c r="AE197"/>
  <c r="AE198"/>
  <c r="Q6"/>
  <c r="R6"/>
  <c r="S6"/>
  <c r="T6"/>
  <c r="U6"/>
  <c r="V6"/>
  <c r="Q7"/>
  <c r="R7"/>
  <c r="S7"/>
  <c r="T7"/>
  <c r="U7"/>
  <c r="V7"/>
  <c r="Q8"/>
  <c r="R8"/>
  <c r="S8"/>
  <c r="T8"/>
  <c r="U8"/>
  <c r="V8"/>
  <c r="Q9"/>
  <c r="R9"/>
  <c r="S9"/>
  <c r="T9"/>
  <c r="U9"/>
  <c r="V9"/>
  <c r="R12"/>
  <c r="S12"/>
  <c r="T12"/>
  <c r="U12"/>
  <c r="V12"/>
  <c r="Q15"/>
  <c r="R15"/>
  <c r="S15"/>
  <c r="T15"/>
  <c r="U15"/>
  <c r="V15"/>
  <c r="Q19"/>
  <c r="R19"/>
  <c r="S19"/>
  <c r="T19"/>
  <c r="U19"/>
  <c r="V19"/>
  <c r="Q24"/>
  <c r="R24"/>
  <c r="S24"/>
  <c r="T24"/>
  <c r="U24"/>
  <c r="V24"/>
  <c r="Q25"/>
  <c r="R25"/>
  <c r="S25"/>
  <c r="T25"/>
  <c r="U25"/>
  <c r="V25"/>
  <c r="Q26"/>
  <c r="R26"/>
  <c r="S26"/>
  <c r="T26"/>
  <c r="U26"/>
  <c r="V26"/>
  <c r="Q27"/>
  <c r="R27"/>
  <c r="S27"/>
  <c r="T27"/>
  <c r="U27"/>
  <c r="V27"/>
  <c r="Q28"/>
  <c r="R28"/>
  <c r="S28"/>
  <c r="T28"/>
  <c r="U28"/>
  <c r="V28"/>
  <c r="Q29"/>
  <c r="R29"/>
  <c r="S29"/>
  <c r="T29"/>
  <c r="U29"/>
  <c r="V29"/>
  <c r="Q30"/>
  <c r="R30"/>
  <c r="S30"/>
  <c r="T30"/>
  <c r="U30"/>
  <c r="V30"/>
  <c r="Q31"/>
  <c r="R31"/>
  <c r="S31"/>
  <c r="T31"/>
  <c r="U31"/>
  <c r="V31"/>
  <c r="Q32"/>
  <c r="R32"/>
  <c r="S32"/>
  <c r="T32"/>
  <c r="U32"/>
  <c r="V32"/>
  <c r="Q33"/>
  <c r="R33"/>
  <c r="S33"/>
  <c r="T33"/>
  <c r="U33"/>
  <c r="V33"/>
  <c r="Q34"/>
  <c r="R34"/>
  <c r="S34"/>
  <c r="T34"/>
  <c r="U34"/>
  <c r="V34"/>
  <c r="Q35"/>
  <c r="R35"/>
  <c r="S35"/>
  <c r="T35"/>
  <c r="U35"/>
  <c r="V35"/>
  <c r="Q36"/>
  <c r="R36"/>
  <c r="S36"/>
  <c r="T36"/>
  <c r="U36"/>
  <c r="V36"/>
  <c r="Q37"/>
  <c r="R37"/>
  <c r="S37"/>
  <c r="T37"/>
  <c r="U37"/>
  <c r="V37"/>
  <c r="Q38"/>
  <c r="R38"/>
  <c r="S38"/>
  <c r="T38"/>
  <c r="U38"/>
  <c r="V38"/>
  <c r="Q39"/>
  <c r="R39"/>
  <c r="S39"/>
  <c r="T39"/>
  <c r="U39"/>
  <c r="V39"/>
  <c r="Q40"/>
  <c r="R40"/>
  <c r="S40"/>
  <c r="T40"/>
  <c r="U40"/>
  <c r="V40"/>
  <c r="Q41"/>
  <c r="R41"/>
  <c r="S41"/>
  <c r="T41"/>
  <c r="U41"/>
  <c r="V41"/>
  <c r="Q42"/>
  <c r="R42"/>
  <c r="S42"/>
  <c r="T42"/>
  <c r="U42"/>
  <c r="V42"/>
  <c r="Q43"/>
  <c r="R43"/>
  <c r="S43"/>
  <c r="T43"/>
  <c r="U43"/>
  <c r="V43"/>
  <c r="Q44"/>
  <c r="R44"/>
  <c r="S44"/>
  <c r="T44"/>
  <c r="U44"/>
  <c r="V44"/>
  <c r="Q45"/>
  <c r="R45"/>
  <c r="S45"/>
  <c r="T45"/>
  <c r="U45"/>
  <c r="V45"/>
  <c r="Q46"/>
  <c r="R46"/>
  <c r="S46"/>
  <c r="T46"/>
  <c r="U46"/>
  <c r="V46"/>
  <c r="Q47"/>
  <c r="R47"/>
  <c r="S47"/>
  <c r="T47"/>
  <c r="U47"/>
  <c r="V47"/>
  <c r="Q48"/>
  <c r="R48"/>
  <c r="S48"/>
  <c r="T48"/>
  <c r="U48"/>
  <c r="V48"/>
  <c r="Q49"/>
  <c r="R49"/>
  <c r="S49"/>
  <c r="T49"/>
  <c r="U49"/>
  <c r="V49"/>
  <c r="Q50"/>
  <c r="R50"/>
  <c r="S50"/>
  <c r="T50"/>
  <c r="U50"/>
  <c r="V50"/>
  <c r="Q52"/>
  <c r="R52"/>
  <c r="S52"/>
  <c r="T52"/>
  <c r="U52"/>
  <c r="V52"/>
  <c r="Q53"/>
  <c r="R53"/>
  <c r="S53"/>
  <c r="T53"/>
  <c r="U53"/>
  <c r="V53"/>
  <c r="Q54"/>
  <c r="R54"/>
  <c r="S54"/>
  <c r="T54"/>
  <c r="U54"/>
  <c r="V54"/>
  <c r="Q55"/>
  <c r="R55"/>
  <c r="S55"/>
  <c r="T55"/>
  <c r="U55"/>
  <c r="V55"/>
  <c r="Q56"/>
  <c r="R56"/>
  <c r="S56"/>
  <c r="T56"/>
  <c r="U56"/>
  <c r="V56"/>
  <c r="Q57"/>
  <c r="R57"/>
  <c r="S57"/>
  <c r="T57"/>
  <c r="U57"/>
  <c r="V57"/>
  <c r="Q58"/>
  <c r="R58"/>
  <c r="S58"/>
  <c r="T58"/>
  <c r="U58"/>
  <c r="V58"/>
  <c r="Q59"/>
  <c r="R59"/>
  <c r="S59"/>
  <c r="T59"/>
  <c r="U59"/>
  <c r="V59"/>
  <c r="Q60"/>
  <c r="R60"/>
  <c r="S60"/>
  <c r="T60"/>
  <c r="U60"/>
  <c r="V60"/>
  <c r="Q61"/>
  <c r="R61"/>
  <c r="S61"/>
  <c r="T61"/>
  <c r="U61"/>
  <c r="V61"/>
  <c r="Q62"/>
  <c r="R62"/>
  <c r="S62"/>
  <c r="T62"/>
  <c r="U62"/>
  <c r="V62"/>
  <c r="Q63"/>
  <c r="R63"/>
  <c r="S63"/>
  <c r="T63"/>
  <c r="U63"/>
  <c r="V63"/>
  <c r="Q64"/>
  <c r="R64"/>
  <c r="S64"/>
  <c r="T64"/>
  <c r="U64"/>
  <c r="V64"/>
  <c r="Q65"/>
  <c r="R65"/>
  <c r="S65"/>
  <c r="T65"/>
  <c r="U65"/>
  <c r="V65"/>
  <c r="Q66"/>
  <c r="R66"/>
  <c r="S66"/>
  <c r="T66"/>
  <c r="U66"/>
  <c r="V66"/>
  <c r="Q67"/>
  <c r="R67"/>
  <c r="S67"/>
  <c r="T67"/>
  <c r="U67"/>
  <c r="V67"/>
  <c r="Q68"/>
  <c r="R68"/>
  <c r="S68"/>
  <c r="T68"/>
  <c r="U68"/>
  <c r="V68"/>
  <c r="Q69"/>
  <c r="R69"/>
  <c r="S69"/>
  <c r="T69"/>
  <c r="U69"/>
  <c r="V69"/>
  <c r="Q70"/>
  <c r="R70"/>
  <c r="S70"/>
  <c r="T70"/>
  <c r="U70"/>
  <c r="V70"/>
  <c r="Q71"/>
  <c r="R71"/>
  <c r="S71"/>
  <c r="T71"/>
  <c r="U71"/>
  <c r="V71"/>
  <c r="Q72"/>
  <c r="R72"/>
  <c r="S72"/>
  <c r="T72"/>
  <c r="U72"/>
  <c r="V72"/>
  <c r="Q73"/>
  <c r="R73"/>
  <c r="S73"/>
  <c r="T73"/>
  <c r="U73"/>
  <c r="V73"/>
  <c r="Q74"/>
  <c r="R74"/>
  <c r="S74"/>
  <c r="T74"/>
  <c r="U74"/>
  <c r="V74"/>
  <c r="Q75"/>
  <c r="R75"/>
  <c r="S75"/>
  <c r="T75"/>
  <c r="U75"/>
  <c r="V75"/>
  <c r="Q76"/>
  <c r="R76"/>
  <c r="S76"/>
  <c r="T76"/>
  <c r="U76"/>
  <c r="V76"/>
  <c r="Q77"/>
  <c r="R77"/>
  <c r="S77"/>
  <c r="T77"/>
  <c r="U77"/>
  <c r="V77"/>
  <c r="Q78"/>
  <c r="R78"/>
  <c r="S78"/>
  <c r="T78"/>
  <c r="U78"/>
  <c r="V78"/>
  <c r="Q79"/>
  <c r="R79"/>
  <c r="S79"/>
  <c r="T79"/>
  <c r="U79"/>
  <c r="V79"/>
  <c r="Q80"/>
  <c r="R80"/>
  <c r="S80"/>
  <c r="T80"/>
  <c r="U80"/>
  <c r="V80"/>
  <c r="Q81"/>
  <c r="R81"/>
  <c r="S81"/>
  <c r="T81"/>
  <c r="U81"/>
  <c r="V81"/>
  <c r="Q82"/>
  <c r="R82"/>
  <c r="S82"/>
  <c r="T82"/>
  <c r="U82"/>
  <c r="V82"/>
  <c r="Q83"/>
  <c r="R83"/>
  <c r="S83"/>
  <c r="T83"/>
  <c r="U83"/>
  <c r="V83"/>
  <c r="Q84"/>
  <c r="R84"/>
  <c r="S84"/>
  <c r="T84"/>
  <c r="U84"/>
  <c r="V84"/>
  <c r="Q85"/>
  <c r="R85"/>
  <c r="S85"/>
  <c r="T85"/>
  <c r="U85"/>
  <c r="V85"/>
  <c r="Q86"/>
  <c r="R86"/>
  <c r="S86"/>
  <c r="T86"/>
  <c r="U86"/>
  <c r="V86"/>
  <c r="Q87"/>
  <c r="R87"/>
  <c r="S87"/>
  <c r="T87"/>
  <c r="U87"/>
  <c r="V87"/>
  <c r="Q88"/>
  <c r="R88"/>
  <c r="S88"/>
  <c r="T88"/>
  <c r="U88"/>
  <c r="V88"/>
  <c r="Q89"/>
  <c r="R89"/>
  <c r="S89"/>
  <c r="T89"/>
  <c r="U89"/>
  <c r="V89"/>
  <c r="Q90"/>
  <c r="R90"/>
  <c r="S90"/>
  <c r="T90"/>
  <c r="U90"/>
  <c r="V90"/>
  <c r="Q91"/>
  <c r="R91"/>
  <c r="S91"/>
  <c r="T91"/>
  <c r="U91"/>
  <c r="V91"/>
  <c r="Q92"/>
  <c r="R92"/>
  <c r="S92"/>
  <c r="T92"/>
  <c r="U92"/>
  <c r="V92"/>
  <c r="Q93"/>
  <c r="R93"/>
  <c r="S93"/>
  <c r="T93"/>
  <c r="U93"/>
  <c r="V93"/>
  <c r="Q94"/>
  <c r="R94"/>
  <c r="S94"/>
  <c r="T94"/>
  <c r="U94"/>
  <c r="V94"/>
  <c r="Q95"/>
  <c r="R95"/>
  <c r="S95"/>
  <c r="T95"/>
  <c r="U95"/>
  <c r="V95"/>
  <c r="Q96"/>
  <c r="R96"/>
  <c r="S96"/>
  <c r="T96"/>
  <c r="U96"/>
  <c r="V96"/>
  <c r="Q97"/>
  <c r="R97"/>
  <c r="S97"/>
  <c r="T97"/>
  <c r="U97"/>
  <c r="V97"/>
  <c r="Q98"/>
  <c r="R98"/>
  <c r="S98"/>
  <c r="T98"/>
  <c r="U98"/>
  <c r="V98"/>
  <c r="Q99"/>
  <c r="R99"/>
  <c r="S99"/>
  <c r="T99"/>
  <c r="U99"/>
  <c r="V99"/>
  <c r="Q100"/>
  <c r="R100"/>
  <c r="S100"/>
  <c r="T100"/>
  <c r="U100"/>
  <c r="V100"/>
  <c r="Q101"/>
  <c r="R101"/>
  <c r="S101"/>
  <c r="T101"/>
  <c r="U101"/>
  <c r="V101"/>
  <c r="Q11"/>
  <c r="R11"/>
  <c r="S11"/>
  <c r="T11"/>
  <c r="U11"/>
  <c r="V11"/>
  <c r="Q13"/>
  <c r="R13"/>
  <c r="S13"/>
  <c r="T13"/>
  <c r="U13"/>
  <c r="V13"/>
  <c r="Q14"/>
  <c r="R14"/>
  <c r="S14"/>
  <c r="T14"/>
  <c r="U14"/>
  <c r="V14"/>
  <c r="Q16"/>
  <c r="R16"/>
  <c r="S16"/>
  <c r="T16"/>
  <c r="U16"/>
  <c r="V16"/>
  <c r="Q17"/>
  <c r="R17"/>
  <c r="S17"/>
  <c r="T17"/>
  <c r="U17"/>
  <c r="V17"/>
  <c r="Q18"/>
  <c r="R18"/>
  <c r="S18"/>
  <c r="T18"/>
  <c r="U18"/>
  <c r="V18"/>
  <c r="Q10"/>
  <c r="R10"/>
  <c r="S10"/>
  <c r="T10"/>
  <c r="U10"/>
  <c r="V10"/>
  <c r="Q102"/>
  <c r="R102"/>
  <c r="S102"/>
  <c r="T102"/>
  <c r="U102"/>
  <c r="V102"/>
  <c r="Q103"/>
  <c r="R103"/>
  <c r="S103"/>
  <c r="T103"/>
  <c r="U103"/>
  <c r="V103"/>
  <c r="Q104"/>
  <c r="R104"/>
  <c r="S104"/>
  <c r="T104"/>
  <c r="U104"/>
  <c r="V104"/>
  <c r="Q105"/>
  <c r="R105"/>
  <c r="S105"/>
  <c r="T105"/>
  <c r="U105"/>
  <c r="V105"/>
  <c r="Q106"/>
  <c r="R106"/>
  <c r="S106"/>
  <c r="T106"/>
  <c r="U106"/>
  <c r="V106"/>
  <c r="Q107"/>
  <c r="R107"/>
  <c r="S107"/>
  <c r="T107"/>
  <c r="U107"/>
  <c r="V107"/>
  <c r="Q108"/>
  <c r="R108"/>
  <c r="S108"/>
  <c r="T108"/>
  <c r="U108"/>
  <c r="V108"/>
  <c r="Q109"/>
  <c r="R109"/>
  <c r="S109"/>
  <c r="T109"/>
  <c r="U109"/>
  <c r="V109"/>
  <c r="Q110"/>
  <c r="R110"/>
  <c r="S110"/>
  <c r="T110"/>
  <c r="U110"/>
  <c r="V110"/>
  <c r="Q111"/>
  <c r="R111"/>
  <c r="S111"/>
  <c r="T111"/>
  <c r="U111"/>
  <c r="V111"/>
  <c r="Q112"/>
  <c r="R112"/>
  <c r="S112"/>
  <c r="T112"/>
  <c r="U112"/>
  <c r="V112"/>
  <c r="Q113"/>
  <c r="R113"/>
  <c r="S113"/>
  <c r="T113"/>
  <c r="U113"/>
  <c r="V113"/>
  <c r="Q114"/>
  <c r="R114"/>
  <c r="S114"/>
  <c r="T114"/>
  <c r="U114"/>
  <c r="V114"/>
  <c r="Q115"/>
  <c r="R115"/>
  <c r="S115"/>
  <c r="T115"/>
  <c r="U115"/>
  <c r="V115"/>
  <c r="Q116"/>
  <c r="R116"/>
  <c r="S116"/>
  <c r="T116"/>
  <c r="U116"/>
  <c r="V116"/>
  <c r="Q117"/>
  <c r="R117"/>
  <c r="S117"/>
  <c r="T117"/>
  <c r="U117"/>
  <c r="V117"/>
  <c r="Q118"/>
  <c r="R118"/>
  <c r="S118"/>
  <c r="T118"/>
  <c r="U118"/>
  <c r="V118"/>
  <c r="Q119"/>
  <c r="R119"/>
  <c r="S119"/>
  <c r="T119"/>
  <c r="U119"/>
  <c r="V119"/>
  <c r="Q120"/>
  <c r="R120"/>
  <c r="S120"/>
  <c r="T120"/>
  <c r="U120"/>
  <c r="V120"/>
  <c r="Q121"/>
  <c r="R121"/>
  <c r="S121"/>
  <c r="T121"/>
  <c r="U121"/>
  <c r="V121"/>
  <c r="Q122"/>
  <c r="R122"/>
  <c r="S122"/>
  <c r="T122"/>
  <c r="U122"/>
  <c r="V122"/>
  <c r="Q123"/>
  <c r="R123"/>
  <c r="S123"/>
  <c r="T123"/>
  <c r="U123"/>
  <c r="V123"/>
  <c r="Q124"/>
  <c r="R124"/>
  <c r="S124"/>
  <c r="T124"/>
  <c r="U124"/>
  <c r="V124"/>
  <c r="Q125"/>
  <c r="R125"/>
  <c r="S125"/>
  <c r="T125"/>
  <c r="U125"/>
  <c r="V125"/>
  <c r="Q126"/>
  <c r="R126"/>
  <c r="S126"/>
  <c r="T126"/>
  <c r="U126"/>
  <c r="V126"/>
  <c r="Q127"/>
  <c r="R127"/>
  <c r="S127"/>
  <c r="T127"/>
  <c r="U127"/>
  <c r="V127"/>
  <c r="Q128"/>
  <c r="R128"/>
  <c r="S128"/>
  <c r="T128"/>
  <c r="U128"/>
  <c r="V128"/>
  <c r="Q129"/>
  <c r="R129"/>
  <c r="S129"/>
  <c r="T129"/>
  <c r="U129"/>
  <c r="V129"/>
  <c r="Q130"/>
  <c r="R130"/>
  <c r="S130"/>
  <c r="T130"/>
  <c r="U130"/>
  <c r="V130"/>
  <c r="Q131"/>
  <c r="R131"/>
  <c r="S131"/>
  <c r="T131"/>
  <c r="U131"/>
  <c r="V131"/>
  <c r="Q132"/>
  <c r="R132"/>
  <c r="S132"/>
  <c r="T132"/>
  <c r="U132"/>
  <c r="V132"/>
  <c r="Q133"/>
  <c r="R133"/>
  <c r="S133"/>
  <c r="T133"/>
  <c r="U133"/>
  <c r="V133"/>
  <c r="Q134"/>
  <c r="R134"/>
  <c r="S134"/>
  <c r="T134"/>
  <c r="U134"/>
  <c r="V134"/>
  <c r="Q135"/>
  <c r="R135"/>
  <c r="S135"/>
  <c r="T135"/>
  <c r="U135"/>
  <c r="V135"/>
  <c r="Q136"/>
  <c r="R136"/>
  <c r="S136"/>
  <c r="T136"/>
  <c r="U136"/>
  <c r="V136"/>
  <c r="Q137"/>
  <c r="R137"/>
  <c r="S137"/>
  <c r="T137"/>
  <c r="U137"/>
  <c r="V137"/>
  <c r="Q138"/>
  <c r="R138"/>
  <c r="S138"/>
  <c r="T138"/>
  <c r="U138"/>
  <c r="V138"/>
  <c r="Q139"/>
  <c r="R139"/>
  <c r="S139"/>
  <c r="T139"/>
  <c r="U139"/>
  <c r="V139"/>
  <c r="Q140"/>
  <c r="R140"/>
  <c r="S140"/>
  <c r="T140"/>
  <c r="U140"/>
  <c r="V140"/>
  <c r="Q141"/>
  <c r="R141"/>
  <c r="S141"/>
  <c r="T141"/>
  <c r="U141"/>
  <c r="V141"/>
  <c r="Q142"/>
  <c r="R142"/>
  <c r="S142"/>
  <c r="T142"/>
  <c r="U142"/>
  <c r="V142"/>
  <c r="Q143"/>
  <c r="R143"/>
  <c r="S143"/>
  <c r="T143"/>
  <c r="U143"/>
  <c r="V143"/>
  <c r="Q144"/>
  <c r="R144"/>
  <c r="S144"/>
  <c r="T144"/>
  <c r="U144"/>
  <c r="V144"/>
  <c r="Q145"/>
  <c r="R145"/>
  <c r="S145"/>
  <c r="T145"/>
  <c r="U145"/>
  <c r="V145"/>
  <c r="Q146"/>
  <c r="R146"/>
  <c r="S146"/>
  <c r="T146"/>
  <c r="U146"/>
  <c r="V146"/>
  <c r="Q147"/>
  <c r="R147"/>
  <c r="S147"/>
  <c r="T147"/>
  <c r="U147"/>
  <c r="V147"/>
  <c r="Q148"/>
  <c r="R148"/>
  <c r="S148"/>
  <c r="T148"/>
  <c r="U148"/>
  <c r="V148"/>
  <c r="Q149"/>
  <c r="R149"/>
  <c r="S149"/>
  <c r="T149"/>
  <c r="U149"/>
  <c r="V149"/>
  <c r="Q150"/>
  <c r="R150"/>
  <c r="S150"/>
  <c r="T150"/>
  <c r="U150"/>
  <c r="V150"/>
  <c r="Q151"/>
  <c r="R151"/>
  <c r="S151"/>
  <c r="T151"/>
  <c r="U151"/>
  <c r="V151"/>
  <c r="Q152"/>
  <c r="R152"/>
  <c r="S152"/>
  <c r="T152"/>
  <c r="U152"/>
  <c r="V152"/>
  <c r="Q153"/>
  <c r="R153"/>
  <c r="S153"/>
  <c r="T153"/>
  <c r="U153"/>
  <c r="V153"/>
  <c r="Q154"/>
  <c r="R154"/>
  <c r="S154"/>
  <c r="T154"/>
  <c r="U154"/>
  <c r="V154"/>
  <c r="Q155"/>
  <c r="R155"/>
  <c r="S155"/>
  <c r="T155"/>
  <c r="U155"/>
  <c r="V155"/>
  <c r="Q156"/>
  <c r="R156"/>
  <c r="S156"/>
  <c r="T156"/>
  <c r="U156"/>
  <c r="V156"/>
  <c r="Q157"/>
  <c r="R157"/>
  <c r="S157"/>
  <c r="T157"/>
  <c r="U157"/>
  <c r="V157"/>
  <c r="Q158"/>
  <c r="R158"/>
  <c r="S158"/>
  <c r="T158"/>
  <c r="U158"/>
  <c r="V158"/>
  <c r="Q160"/>
  <c r="R160"/>
  <c r="S160"/>
  <c r="T160"/>
  <c r="U160"/>
  <c r="V160"/>
  <c r="Q161"/>
  <c r="R161"/>
  <c r="S161"/>
  <c r="T161"/>
  <c r="U161"/>
  <c r="V161"/>
  <c r="Q162"/>
  <c r="R162"/>
  <c r="S162"/>
  <c r="T162"/>
  <c r="U162"/>
  <c r="V162"/>
  <c r="Q163"/>
  <c r="R163"/>
  <c r="S163"/>
  <c r="T163"/>
  <c r="U163"/>
  <c r="V163"/>
  <c r="Q164"/>
  <c r="R164"/>
  <c r="S164"/>
  <c r="T164"/>
  <c r="U164"/>
  <c r="V164"/>
  <c r="Q165"/>
  <c r="R165"/>
  <c r="S165"/>
  <c r="T165"/>
  <c r="U165"/>
  <c r="V165"/>
  <c r="Q166"/>
  <c r="R166"/>
  <c r="S166"/>
  <c r="T166"/>
  <c r="U166"/>
  <c r="V166"/>
  <c r="Q167"/>
  <c r="R167"/>
  <c r="S167"/>
  <c r="T167"/>
  <c r="U167"/>
  <c r="V167"/>
  <c r="Q168"/>
  <c r="R168"/>
  <c r="S168"/>
  <c r="T168"/>
  <c r="U168"/>
  <c r="V168"/>
  <c r="Q169"/>
  <c r="R169"/>
  <c r="S169"/>
  <c r="T169"/>
  <c r="U169"/>
  <c r="V169"/>
  <c r="Q170"/>
  <c r="R170"/>
  <c r="S170"/>
  <c r="T170"/>
  <c r="U170"/>
  <c r="V170"/>
  <c r="Q171"/>
  <c r="R171"/>
  <c r="S171"/>
  <c r="T171"/>
  <c r="U171"/>
  <c r="V171"/>
  <c r="Q172"/>
  <c r="R172"/>
  <c r="S172"/>
  <c r="T172"/>
  <c r="U172"/>
  <c r="V172"/>
  <c r="Q173"/>
  <c r="R173"/>
  <c r="S173"/>
  <c r="T173"/>
  <c r="U173"/>
  <c r="V173"/>
  <c r="Q174"/>
  <c r="R174"/>
  <c r="S174"/>
  <c r="T174"/>
  <c r="U174"/>
  <c r="V174"/>
  <c r="Q175"/>
  <c r="R175"/>
  <c r="S175"/>
  <c r="T175"/>
  <c r="U175"/>
  <c r="V175"/>
  <c r="Q176"/>
  <c r="R176"/>
  <c r="S176"/>
  <c r="T176"/>
  <c r="U176"/>
  <c r="V176"/>
  <c r="Q177"/>
  <c r="R177"/>
  <c r="S177"/>
  <c r="T177"/>
  <c r="U177"/>
  <c r="V177"/>
  <c r="Q178"/>
  <c r="R178"/>
  <c r="S178"/>
  <c r="T178"/>
  <c r="U178"/>
  <c r="V178"/>
  <c r="Q179"/>
  <c r="R179"/>
  <c r="S179"/>
  <c r="T179"/>
  <c r="U179"/>
  <c r="V179"/>
  <c r="Q180"/>
  <c r="R180"/>
  <c r="S180"/>
  <c r="T180"/>
  <c r="U180"/>
  <c r="V180"/>
  <c r="Q181"/>
  <c r="R181"/>
  <c r="S181"/>
  <c r="T181"/>
  <c r="U181"/>
  <c r="V181"/>
  <c r="Q182"/>
  <c r="R182"/>
  <c r="S182"/>
  <c r="T182"/>
  <c r="U182"/>
  <c r="V182"/>
  <c r="Q183"/>
  <c r="R183"/>
  <c r="S183"/>
  <c r="T183"/>
  <c r="U183"/>
  <c r="V183"/>
  <c r="Q184"/>
  <c r="R184"/>
  <c r="S184"/>
  <c r="T184"/>
  <c r="U184"/>
  <c r="V184"/>
  <c r="Q185"/>
  <c r="R185"/>
  <c r="S185"/>
  <c r="T185"/>
  <c r="U185"/>
  <c r="V185"/>
  <c r="Q186"/>
  <c r="R186"/>
  <c r="S186"/>
  <c r="T186"/>
  <c r="U186"/>
  <c r="V186"/>
  <c r="Q187"/>
  <c r="R187"/>
  <c r="S187"/>
  <c r="T187"/>
  <c r="U187"/>
  <c r="V187"/>
  <c r="Q188"/>
  <c r="R188"/>
  <c r="S188"/>
  <c r="T188"/>
  <c r="U188"/>
  <c r="V188"/>
  <c r="Q189"/>
  <c r="R189"/>
  <c r="S189"/>
  <c r="T189"/>
  <c r="U189"/>
  <c r="V189"/>
  <c r="Q190"/>
  <c r="R190"/>
  <c r="S190"/>
  <c r="T190"/>
  <c r="U190"/>
  <c r="V190"/>
  <c r="Q191"/>
  <c r="R191"/>
  <c r="S191"/>
  <c r="T191"/>
  <c r="U191"/>
  <c r="V191"/>
  <c r="Q192"/>
  <c r="R192"/>
  <c r="S192"/>
  <c r="T192"/>
  <c r="U192"/>
  <c r="V192"/>
  <c r="Q193"/>
  <c r="R193"/>
  <c r="S193"/>
  <c r="T193"/>
  <c r="U193"/>
  <c r="V193"/>
  <c r="Q194"/>
  <c r="R194"/>
  <c r="S194"/>
  <c r="T194"/>
  <c r="U194"/>
  <c r="V194"/>
  <c r="Q195"/>
  <c r="R195"/>
  <c r="S195"/>
  <c r="T195"/>
  <c r="U195"/>
  <c r="V195"/>
  <c r="Q196"/>
  <c r="R196"/>
  <c r="S196"/>
  <c r="T196"/>
  <c r="U196"/>
  <c r="V196"/>
  <c r="Q197"/>
  <c r="R197"/>
  <c r="S197"/>
  <c r="T197"/>
  <c r="U197"/>
  <c r="V197"/>
  <c r="Q198"/>
  <c r="R198"/>
  <c r="S198"/>
  <c r="T198"/>
  <c r="U198"/>
  <c r="V198"/>
  <c r="P6"/>
  <c r="P7"/>
  <c r="P8"/>
  <c r="P9"/>
  <c r="P12"/>
  <c r="P15"/>
  <c r="P19"/>
  <c r="P24"/>
  <c r="P25"/>
  <c r="P26"/>
  <c r="P27"/>
  <c r="P28"/>
  <c r="P29"/>
  <c r="P30"/>
  <c r="P31"/>
  <c r="P32"/>
  <c r="P33"/>
  <c r="P34"/>
  <c r="P35"/>
  <c r="P36"/>
  <c r="P37"/>
  <c r="P38"/>
  <c r="P40"/>
  <c r="P41"/>
  <c r="P42"/>
  <c r="P43"/>
  <c r="P44"/>
  <c r="P45"/>
  <c r="P46"/>
  <c r="P47"/>
  <c r="P48"/>
  <c r="P49"/>
  <c r="P50"/>
  <c r="P52"/>
  <c r="P53"/>
  <c r="P54"/>
  <c r="P55"/>
  <c r="P56"/>
  <c r="P57"/>
  <c r="P58"/>
  <c r="P59"/>
  <c r="P60"/>
  <c r="P61"/>
  <c r="P62"/>
  <c r="P63"/>
  <c r="P64"/>
  <c r="P65"/>
  <c r="P66"/>
  <c r="P67"/>
  <c r="P68"/>
  <c r="P69"/>
  <c r="P70"/>
  <c r="P71"/>
  <c r="P72"/>
  <c r="P73"/>
  <c r="P74"/>
  <c r="P75"/>
  <c r="P76"/>
  <c r="P77"/>
  <c r="P78"/>
  <c r="P79"/>
  <c r="P80"/>
  <c r="P81"/>
  <c r="P82"/>
  <c r="P83"/>
  <c r="P84"/>
  <c r="P85"/>
  <c r="P86"/>
  <c r="P87"/>
  <c r="P88"/>
  <c r="P89"/>
  <c r="P90"/>
  <c r="P91"/>
  <c r="P92"/>
  <c r="P93"/>
  <c r="P94"/>
  <c r="P95"/>
  <c r="P96"/>
  <c r="P97"/>
  <c r="P98"/>
  <c r="P99"/>
  <c r="P100"/>
  <c r="P101"/>
  <c r="P11"/>
  <c r="P13"/>
  <c r="P14"/>
  <c r="P16"/>
  <c r="P17"/>
  <c r="P18"/>
  <c r="P10"/>
  <c r="P102"/>
  <c r="P103"/>
  <c r="P104"/>
  <c r="P105"/>
  <c r="P106"/>
  <c r="P107"/>
  <c r="P108"/>
  <c r="P109"/>
  <c r="P110"/>
  <c r="P111"/>
  <c r="P112"/>
  <c r="P113"/>
  <c r="P114"/>
  <c r="P115"/>
  <c r="P116"/>
  <c r="P117"/>
  <c r="P118"/>
  <c r="P119"/>
  <c r="P120"/>
  <c r="P121"/>
  <c r="P122"/>
  <c r="P123"/>
  <c r="P124"/>
  <c r="P125"/>
  <c r="P126"/>
  <c r="P127"/>
  <c r="P128"/>
  <c r="P129"/>
  <c r="P130"/>
  <c r="P131"/>
  <c r="P132"/>
  <c r="P133"/>
  <c r="P134"/>
  <c r="P135"/>
  <c r="P136"/>
  <c r="P137"/>
  <c r="P138"/>
  <c r="P139"/>
  <c r="P140"/>
  <c r="P141"/>
  <c r="P142"/>
  <c r="P143"/>
  <c r="P144"/>
  <c r="P145"/>
  <c r="P146"/>
  <c r="P147"/>
  <c r="P148"/>
  <c r="P149"/>
  <c r="P150"/>
  <c r="P151"/>
  <c r="P152"/>
  <c r="P153"/>
  <c r="P154"/>
  <c r="P155"/>
  <c r="P156"/>
  <c r="P157"/>
  <c r="P158"/>
  <c r="P160"/>
  <c r="P161"/>
  <c r="P162"/>
  <c r="P163"/>
  <c r="P164"/>
  <c r="P165"/>
  <c r="P166"/>
  <c r="P167"/>
  <c r="P168"/>
  <c r="P169"/>
  <c r="P170"/>
  <c r="P171"/>
  <c r="P172"/>
  <c r="P173"/>
  <c r="P174"/>
  <c r="P175"/>
  <c r="P176"/>
  <c r="P177"/>
  <c r="P178"/>
  <c r="P179"/>
  <c r="P180"/>
  <c r="P181"/>
  <c r="P182"/>
  <c r="P183"/>
  <c r="P184"/>
  <c r="P185"/>
  <c r="P186"/>
  <c r="P187"/>
  <c r="P188"/>
  <c r="P189"/>
  <c r="P190"/>
  <c r="P191"/>
  <c r="P192"/>
  <c r="P193"/>
  <c r="P194"/>
  <c r="P195"/>
  <c r="P196"/>
  <c r="P197"/>
  <c r="P198"/>
  <c r="O6"/>
  <c r="O7"/>
  <c r="O8"/>
  <c r="O9"/>
  <c r="O12"/>
  <c r="O15"/>
  <c r="O24"/>
  <c r="O25"/>
  <c r="O26"/>
  <c r="O27"/>
  <c r="O28"/>
  <c r="O29"/>
  <c r="O30"/>
  <c r="O31"/>
  <c r="O32"/>
  <c r="O33"/>
  <c r="O34"/>
  <c r="O35"/>
  <c r="O36"/>
  <c r="O37"/>
  <c r="O38"/>
  <c r="O40"/>
  <c r="O41"/>
  <c r="O42"/>
  <c r="O43"/>
  <c r="O44"/>
  <c r="O45"/>
  <c r="O46"/>
  <c r="O47"/>
  <c r="O48"/>
  <c r="O49"/>
  <c r="O50"/>
  <c r="O52"/>
  <c r="O53"/>
  <c r="O54"/>
  <c r="O55"/>
  <c r="O56"/>
  <c r="O57"/>
  <c r="O58"/>
  <c r="O59"/>
  <c r="O60"/>
  <c r="O61"/>
  <c r="O62"/>
  <c r="O63"/>
  <c r="O64"/>
  <c r="O65"/>
  <c r="O66"/>
  <c r="O67"/>
  <c r="O68"/>
  <c r="O69"/>
  <c r="O70"/>
  <c r="O71"/>
  <c r="O72"/>
  <c r="O73"/>
  <c r="O74"/>
  <c r="O75"/>
  <c r="O76"/>
  <c r="O77"/>
  <c r="O78"/>
  <c r="O79"/>
  <c r="O80"/>
  <c r="O81"/>
  <c r="O82"/>
  <c r="O83"/>
  <c r="O84"/>
  <c r="O85"/>
  <c r="O86"/>
  <c r="O87"/>
  <c r="O88"/>
  <c r="O89"/>
  <c r="O90"/>
  <c r="O91"/>
  <c r="O92"/>
  <c r="O93"/>
  <c r="O94"/>
  <c r="O95"/>
  <c r="O96"/>
  <c r="O97"/>
  <c r="O98"/>
  <c r="O99"/>
  <c r="O100"/>
  <c r="O101"/>
  <c r="O11"/>
  <c r="O13"/>
  <c r="O14"/>
  <c r="O16"/>
  <c r="O17"/>
  <c r="O18"/>
  <c r="O10"/>
  <c r="O102"/>
  <c r="O103"/>
  <c r="O104"/>
  <c r="O105"/>
  <c r="O106"/>
  <c r="O107"/>
  <c r="O108"/>
  <c r="O109"/>
  <c r="O110"/>
  <c r="O111"/>
  <c r="O112"/>
  <c r="O113"/>
  <c r="O114"/>
  <c r="O115"/>
  <c r="O116"/>
  <c r="O117"/>
  <c r="O118"/>
  <c r="O119"/>
  <c r="O120"/>
  <c r="O121"/>
  <c r="O122"/>
  <c r="O123"/>
  <c r="O124"/>
  <c r="O125"/>
  <c r="O126"/>
  <c r="O127"/>
  <c r="O128"/>
  <c r="O129"/>
  <c r="O130"/>
  <c r="O131"/>
  <c r="O132"/>
  <c r="O133"/>
  <c r="O134"/>
  <c r="O135"/>
  <c r="O136"/>
  <c r="O137"/>
  <c r="O138"/>
  <c r="O139"/>
  <c r="O140"/>
  <c r="O141"/>
  <c r="O142"/>
  <c r="O143"/>
  <c r="O144"/>
  <c r="O145"/>
  <c r="O146"/>
  <c r="O147"/>
  <c r="O148"/>
  <c r="O149"/>
  <c r="O150"/>
  <c r="O151"/>
  <c r="O152"/>
  <c r="O153"/>
  <c r="O154"/>
  <c r="O155"/>
  <c r="O156"/>
  <c r="O157"/>
  <c r="O158"/>
  <c r="O160"/>
  <c r="O161"/>
  <c r="O162"/>
  <c r="O163"/>
  <c r="O164"/>
  <c r="O165"/>
  <c r="O166"/>
  <c r="O167"/>
  <c r="O168"/>
  <c r="O169"/>
  <c r="O170"/>
  <c r="O171"/>
  <c r="O172"/>
  <c r="O173"/>
  <c r="O174"/>
  <c r="O175"/>
  <c r="O176"/>
  <c r="O177"/>
  <c r="O178"/>
  <c r="O179"/>
  <c r="O180"/>
  <c r="O181"/>
  <c r="O182"/>
  <c r="O183"/>
  <c r="O184"/>
  <c r="O185"/>
  <c r="O186"/>
  <c r="O187"/>
  <c r="O188"/>
  <c r="O189"/>
  <c r="O190"/>
  <c r="O191"/>
  <c r="O192"/>
  <c r="O193"/>
  <c r="O194"/>
  <c r="O195"/>
  <c r="O196"/>
  <c r="O197"/>
  <c r="O198"/>
  <c r="D7"/>
  <c r="D8"/>
  <c r="D9"/>
  <c r="D12"/>
  <c r="D15"/>
  <c r="D19"/>
  <c r="D24"/>
  <c r="D25"/>
  <c r="D26"/>
  <c r="D27"/>
  <c r="D28"/>
  <c r="D29"/>
  <c r="D30"/>
  <c r="D31"/>
  <c r="D32"/>
  <c r="D33"/>
  <c r="D34"/>
  <c r="D35"/>
  <c r="D36"/>
  <c r="D37"/>
  <c r="D38"/>
  <c r="D39"/>
  <c r="D40"/>
  <c r="D41"/>
  <c r="D42"/>
  <c r="D43"/>
  <c r="D44"/>
  <c r="D45"/>
  <c r="D46"/>
  <c r="D47"/>
  <c r="D48"/>
  <c r="D49"/>
  <c r="D50"/>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1"/>
  <c r="D13"/>
  <c r="D14"/>
  <c r="D16"/>
  <c r="D17"/>
  <c r="D18"/>
  <c r="D10"/>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6"/>
  <c r="AX6"/>
  <c r="AY6"/>
  <c r="B6"/>
  <c r="D3"/>
  <c r="C3"/>
  <c r="M3"/>
  <c r="O3"/>
  <c r="P3"/>
  <c r="Q3"/>
  <c r="R3"/>
  <c r="S3"/>
  <c r="T3"/>
  <c r="U3"/>
  <c r="V3"/>
  <c r="AE3"/>
  <c r="AX3"/>
  <c r="AY3"/>
  <c r="D4"/>
  <c r="C4"/>
  <c r="M4"/>
  <c r="O4"/>
  <c r="P4"/>
  <c r="Q4"/>
  <c r="R4"/>
  <c r="S4"/>
  <c r="T4"/>
  <c r="U4"/>
  <c r="V4"/>
  <c r="AE4"/>
  <c r="AX4"/>
  <c r="AY4"/>
  <c r="D5"/>
  <c r="C5"/>
  <c r="M5"/>
  <c r="O5"/>
  <c r="P5"/>
  <c r="Q5"/>
  <c r="R5"/>
  <c r="S5"/>
  <c r="T5"/>
  <c r="U5"/>
  <c r="V5"/>
  <c r="AE5"/>
  <c r="AX5"/>
  <c r="AY5"/>
  <c r="AE2"/>
  <c r="Q2"/>
  <c r="V2"/>
  <c r="U2"/>
  <c r="T2"/>
  <c r="S2"/>
  <c r="R2"/>
  <c r="O2"/>
  <c r="C2"/>
  <c r="M2"/>
  <c r="AY2"/>
  <c r="AX2"/>
  <c r="P2"/>
  <c r="D2"/>
  <c r="B3"/>
  <c r="B4"/>
  <c r="B5"/>
  <c r="C6"/>
  <c r="B7"/>
  <c r="C7"/>
  <c r="B8"/>
  <c r="C8"/>
  <c r="B9"/>
  <c r="C9"/>
  <c r="B12"/>
  <c r="C12"/>
  <c r="B15"/>
  <c r="C15"/>
  <c r="B19"/>
  <c r="C19"/>
  <c r="B24"/>
  <c r="C24"/>
  <c r="B25"/>
  <c r="C25"/>
  <c r="B26"/>
  <c r="C26"/>
  <c r="B27"/>
  <c r="C27"/>
  <c r="B28"/>
  <c r="C28"/>
  <c r="B29"/>
  <c r="C29"/>
  <c r="B30"/>
  <c r="C30"/>
  <c r="B31"/>
  <c r="C31"/>
  <c r="B32"/>
  <c r="C32"/>
  <c r="B33"/>
  <c r="C33"/>
  <c r="B34"/>
  <c r="C34"/>
  <c r="B35"/>
  <c r="C35"/>
  <c r="B36"/>
  <c r="C36"/>
  <c r="B37"/>
  <c r="C37"/>
  <c r="B38"/>
  <c r="C38"/>
  <c r="B39"/>
  <c r="C39"/>
  <c r="B40"/>
  <c r="C40"/>
  <c r="B41"/>
  <c r="C41"/>
  <c r="B42"/>
  <c r="C42"/>
  <c r="B43"/>
  <c r="C43"/>
  <c r="B44"/>
  <c r="C44"/>
  <c r="B45"/>
  <c r="C45"/>
  <c r="B46"/>
  <c r="C46"/>
  <c r="B47"/>
  <c r="C47"/>
  <c r="B48"/>
  <c r="C48"/>
  <c r="B49"/>
  <c r="C49"/>
  <c r="B50"/>
  <c r="C50"/>
  <c r="B52"/>
  <c r="C52"/>
  <c r="B53"/>
  <c r="C53"/>
  <c r="B54"/>
  <c r="C54"/>
  <c r="B55"/>
  <c r="C55"/>
  <c r="B56"/>
  <c r="C56"/>
  <c r="B57"/>
  <c r="C57"/>
  <c r="B58"/>
  <c r="C58"/>
  <c r="B59"/>
  <c r="C59"/>
  <c r="B60"/>
  <c r="C60"/>
  <c r="B61"/>
  <c r="C61"/>
  <c r="B62"/>
  <c r="C62"/>
  <c r="B63"/>
  <c r="C63"/>
  <c r="B64"/>
  <c r="C64"/>
  <c r="B65"/>
  <c r="C65"/>
  <c r="B66"/>
  <c r="C66"/>
  <c r="B67"/>
  <c r="C67"/>
  <c r="B68"/>
  <c r="C68"/>
  <c r="B69"/>
  <c r="C69"/>
  <c r="B70"/>
  <c r="C70"/>
  <c r="B71"/>
  <c r="C71"/>
  <c r="B72"/>
  <c r="C72"/>
  <c r="B73"/>
  <c r="C73"/>
  <c r="B74"/>
  <c r="C74"/>
  <c r="B75"/>
  <c r="C75"/>
  <c r="B76"/>
  <c r="C76"/>
  <c r="B77"/>
  <c r="C77"/>
  <c r="B78"/>
  <c r="C78"/>
  <c r="B79"/>
  <c r="C79"/>
  <c r="B80"/>
  <c r="C80"/>
  <c r="B81"/>
  <c r="C81"/>
  <c r="B82"/>
  <c r="C82"/>
  <c r="B83"/>
  <c r="C83"/>
  <c r="B84"/>
  <c r="C84"/>
  <c r="B85"/>
  <c r="C85"/>
  <c r="B86"/>
  <c r="C86"/>
  <c r="B87"/>
  <c r="C87"/>
  <c r="B88"/>
  <c r="C88"/>
  <c r="B89"/>
  <c r="C89"/>
  <c r="B90"/>
  <c r="C90"/>
  <c r="B91"/>
  <c r="C91"/>
  <c r="B92"/>
  <c r="C92"/>
  <c r="B93"/>
  <c r="C93"/>
  <c r="B94"/>
  <c r="C94"/>
  <c r="B95"/>
  <c r="C95"/>
  <c r="B96"/>
  <c r="C96"/>
  <c r="B97"/>
  <c r="C97"/>
  <c r="B98"/>
  <c r="C98"/>
  <c r="B99"/>
  <c r="C99"/>
  <c r="B100"/>
  <c r="C100"/>
  <c r="B101"/>
  <c r="C101"/>
  <c r="B11"/>
  <c r="C11"/>
  <c r="B13"/>
  <c r="C13"/>
  <c r="B14"/>
  <c r="C14"/>
  <c r="B16"/>
  <c r="C16"/>
  <c r="B17"/>
  <c r="C17"/>
  <c r="B18"/>
  <c r="C18"/>
  <c r="B10"/>
  <c r="C10"/>
  <c r="B102"/>
  <c r="C102"/>
  <c r="B103"/>
  <c r="C103"/>
  <c r="B104"/>
  <c r="C104"/>
  <c r="B105"/>
  <c r="C105"/>
  <c r="B106"/>
  <c r="C106"/>
  <c r="B107"/>
  <c r="C107"/>
  <c r="B108"/>
  <c r="C108"/>
  <c r="B109"/>
  <c r="C109"/>
  <c r="B110"/>
  <c r="C110"/>
  <c r="B111"/>
  <c r="C111"/>
  <c r="B112"/>
  <c r="C112"/>
  <c r="B113"/>
  <c r="C113"/>
  <c r="B114"/>
  <c r="C114"/>
  <c r="B115"/>
  <c r="C115"/>
  <c r="B116"/>
  <c r="C116"/>
  <c r="B117"/>
  <c r="C117"/>
  <c r="B118"/>
  <c r="C118"/>
  <c r="B119"/>
  <c r="C119"/>
  <c r="B120"/>
  <c r="C120"/>
  <c r="B121"/>
  <c r="C121"/>
  <c r="B122"/>
  <c r="C122"/>
  <c r="B123"/>
  <c r="C123"/>
  <c r="B124"/>
  <c r="C124"/>
  <c r="B125"/>
  <c r="C125"/>
  <c r="B126"/>
  <c r="C126"/>
  <c r="B127"/>
  <c r="C127"/>
  <c r="B128"/>
  <c r="C128"/>
  <c r="B129"/>
  <c r="C129"/>
  <c r="B130"/>
  <c r="C130"/>
  <c r="B131"/>
  <c r="C131"/>
  <c r="B132"/>
  <c r="C132"/>
  <c r="B133"/>
  <c r="C133"/>
  <c r="B134"/>
  <c r="C134"/>
  <c r="B135"/>
  <c r="C135"/>
  <c r="B136"/>
  <c r="C136"/>
  <c r="B137"/>
  <c r="C137"/>
  <c r="B138"/>
  <c r="C138"/>
  <c r="B139"/>
  <c r="C139"/>
  <c r="B140"/>
  <c r="C140"/>
  <c r="B141"/>
  <c r="C141"/>
  <c r="B142"/>
  <c r="C142"/>
  <c r="B143"/>
  <c r="C143"/>
  <c r="B144"/>
  <c r="C144"/>
  <c r="B145"/>
  <c r="C145"/>
  <c r="B146"/>
  <c r="C146"/>
  <c r="B147"/>
  <c r="C147"/>
  <c r="B148"/>
  <c r="C148"/>
  <c r="B149"/>
  <c r="C149"/>
  <c r="B150"/>
  <c r="C150"/>
  <c r="B151"/>
  <c r="C151"/>
  <c r="B152"/>
  <c r="C152"/>
  <c r="B153"/>
  <c r="C153"/>
  <c r="B154"/>
  <c r="C154"/>
  <c r="B155"/>
  <c r="C155"/>
  <c r="B156"/>
  <c r="C156"/>
  <c r="B157"/>
  <c r="C157"/>
  <c r="B158"/>
  <c r="C158"/>
  <c r="B160"/>
  <c r="C160"/>
  <c r="B161"/>
  <c r="C161"/>
  <c r="B162"/>
  <c r="C162"/>
  <c r="B163"/>
  <c r="C163"/>
  <c r="B164"/>
  <c r="C164"/>
  <c r="B165"/>
  <c r="C165"/>
  <c r="B166"/>
  <c r="C166"/>
  <c r="B167"/>
  <c r="C167"/>
  <c r="B168"/>
  <c r="C168"/>
  <c r="B169"/>
  <c r="C169"/>
  <c r="B170"/>
  <c r="C170"/>
  <c r="B171"/>
  <c r="C171"/>
  <c r="B172"/>
  <c r="C172"/>
  <c r="B173"/>
  <c r="C173"/>
  <c r="B174"/>
  <c r="C174"/>
  <c r="B175"/>
  <c r="C175"/>
  <c r="B176"/>
  <c r="C176"/>
  <c r="B177"/>
  <c r="C177"/>
  <c r="B178"/>
  <c r="C178"/>
  <c r="B179"/>
  <c r="C179"/>
  <c r="B180"/>
  <c r="C180"/>
  <c r="B181"/>
  <c r="C181"/>
  <c r="B182"/>
  <c r="C182"/>
  <c r="B183"/>
  <c r="C183"/>
  <c r="B184"/>
  <c r="C184"/>
  <c r="B185"/>
  <c r="C185"/>
  <c r="B186"/>
  <c r="C186"/>
  <c r="B187"/>
  <c r="C187"/>
  <c r="B188"/>
  <c r="C188"/>
  <c r="B189"/>
  <c r="C189"/>
  <c r="B190"/>
  <c r="C190"/>
  <c r="B191"/>
  <c r="C191"/>
  <c r="B192"/>
  <c r="C192"/>
  <c r="B193"/>
  <c r="C193"/>
  <c r="B194"/>
  <c r="C194"/>
  <c r="B195"/>
  <c r="C195"/>
  <c r="B196"/>
  <c r="C196"/>
  <c r="B197"/>
  <c r="C197"/>
  <c r="B198"/>
  <c r="C198"/>
  <c r="B2"/>
  <c r="I5" i="6"/>
  <c r="J5"/>
  <c r="I6"/>
  <c r="J6"/>
  <c r="J7"/>
  <c r="I8"/>
  <c r="J8"/>
  <c r="J9"/>
  <c r="I10"/>
  <c r="J10"/>
  <c r="J3"/>
  <c r="L11"/>
  <c r="B11"/>
  <c r="C11"/>
  <c r="D11"/>
  <c r="L2"/>
  <c r="B2"/>
  <c r="C2"/>
  <c r="D2"/>
  <c r="L13"/>
  <c r="D13"/>
  <c r="C13"/>
  <c r="B13"/>
  <c r="L12"/>
  <c r="D12"/>
  <c r="C12"/>
  <c r="B12"/>
  <c r="L10"/>
  <c r="D10"/>
  <c r="C10"/>
  <c r="B10"/>
  <c r="L9"/>
  <c r="D9"/>
  <c r="C9"/>
  <c r="B9"/>
  <c r="L8"/>
  <c r="D8"/>
  <c r="C8"/>
  <c r="B8"/>
  <c r="L6"/>
  <c r="D6"/>
  <c r="C6"/>
  <c r="B6"/>
  <c r="L5"/>
  <c r="D5"/>
  <c r="C5"/>
  <c r="B5"/>
  <c r="L3"/>
  <c r="D3"/>
  <c r="C3"/>
  <c r="B3"/>
  <c r="L7"/>
  <c r="D7"/>
  <c r="C7"/>
  <c r="B7"/>
  <c r="L4"/>
  <c r="D4"/>
  <c r="C4"/>
  <c r="B4"/>
  <c r="A34" i="11"/>
  <c r="I34"/>
  <c r="H34"/>
  <c r="G34"/>
  <c r="F34"/>
  <c r="E34"/>
  <c r="D34"/>
  <c r="C34"/>
  <c r="B34"/>
  <c r="A33"/>
  <c r="I33"/>
  <c r="H33"/>
  <c r="G33"/>
  <c r="F33"/>
  <c r="E33"/>
  <c r="D33"/>
  <c r="C33"/>
  <c r="B33"/>
  <c r="A32"/>
  <c r="I32"/>
  <c r="H32"/>
  <c r="G32"/>
  <c r="F32"/>
  <c r="E32"/>
  <c r="D32"/>
  <c r="C32"/>
  <c r="B32"/>
  <c r="A31"/>
  <c r="I31"/>
  <c r="H31"/>
  <c r="G31"/>
  <c r="F31"/>
  <c r="E31"/>
  <c r="D31"/>
  <c r="C31"/>
  <c r="B31"/>
  <c r="A30"/>
  <c r="I30"/>
  <c r="H30"/>
  <c r="G30"/>
  <c r="F30"/>
  <c r="E30"/>
  <c r="D30"/>
  <c r="C30"/>
  <c r="B30"/>
  <c r="A29"/>
  <c r="I29"/>
  <c r="H29"/>
  <c r="G29"/>
  <c r="F29"/>
  <c r="E29"/>
  <c r="D29"/>
  <c r="C29"/>
  <c r="B29"/>
  <c r="A28"/>
  <c r="I28"/>
  <c r="H28"/>
  <c r="G28"/>
  <c r="F28"/>
  <c r="E28"/>
  <c r="D28"/>
  <c r="C28"/>
  <c r="B28"/>
  <c r="A27"/>
  <c r="I27"/>
  <c r="H27"/>
  <c r="G27"/>
  <c r="F27"/>
  <c r="E27"/>
  <c r="D27"/>
  <c r="C27"/>
  <c r="B27"/>
  <c r="A26"/>
  <c r="I26"/>
  <c r="H26"/>
  <c r="G26"/>
  <c r="F26"/>
  <c r="E26"/>
  <c r="D26"/>
  <c r="C26"/>
  <c r="B26"/>
  <c r="A25"/>
  <c r="I25"/>
  <c r="H25"/>
  <c r="G25"/>
  <c r="F25"/>
  <c r="E25"/>
  <c r="D25"/>
  <c r="C25"/>
  <c r="B25"/>
  <c r="A24"/>
  <c r="I24"/>
  <c r="H24"/>
  <c r="G24"/>
  <c r="F24"/>
  <c r="E24"/>
  <c r="D24"/>
  <c r="C24"/>
  <c r="B24"/>
  <c r="A23"/>
  <c r="I23"/>
  <c r="H23"/>
  <c r="G23"/>
  <c r="F23"/>
  <c r="E23"/>
  <c r="D23"/>
  <c r="C23"/>
  <c r="B23"/>
  <c r="A22"/>
  <c r="I22"/>
  <c r="H22"/>
  <c r="G22"/>
  <c r="F22"/>
  <c r="E22"/>
  <c r="D22"/>
  <c r="C22"/>
  <c r="B22"/>
  <c r="A21"/>
  <c r="I21"/>
  <c r="H21"/>
  <c r="G21"/>
  <c r="F21"/>
  <c r="E21"/>
  <c r="D21"/>
  <c r="C21"/>
  <c r="B21"/>
  <c r="A20"/>
  <c r="I20"/>
  <c r="H20"/>
  <c r="G20"/>
  <c r="F20"/>
  <c r="E20"/>
  <c r="D20"/>
  <c r="C20"/>
  <c r="B20"/>
  <c r="A19"/>
  <c r="I19"/>
  <c r="H19"/>
  <c r="G19"/>
  <c r="F19"/>
  <c r="E19"/>
  <c r="D19"/>
  <c r="C19"/>
  <c r="B19"/>
  <c r="A18"/>
  <c r="I18"/>
  <c r="H18"/>
  <c r="G18"/>
  <c r="F18"/>
  <c r="E18"/>
  <c r="D18"/>
  <c r="C18"/>
  <c r="B18"/>
  <c r="A17"/>
  <c r="I17"/>
  <c r="H17"/>
  <c r="G17"/>
  <c r="F17"/>
  <c r="E17"/>
  <c r="D17"/>
  <c r="C17"/>
  <c r="B17"/>
  <c r="A16"/>
  <c r="I16"/>
  <c r="H16"/>
  <c r="G16"/>
  <c r="F16"/>
  <c r="E16"/>
  <c r="D16"/>
  <c r="C16"/>
  <c r="B16"/>
  <c r="A15"/>
  <c r="I15"/>
  <c r="H15"/>
  <c r="G15"/>
  <c r="F15"/>
  <c r="E15"/>
  <c r="D15"/>
  <c r="C15"/>
  <c r="B15"/>
  <c r="A14"/>
  <c r="I14"/>
  <c r="H14"/>
  <c r="G14"/>
  <c r="F14"/>
  <c r="E14"/>
  <c r="D14"/>
  <c r="C14"/>
  <c r="B14"/>
  <c r="A13"/>
  <c r="I13"/>
  <c r="H13"/>
  <c r="G13"/>
  <c r="F13"/>
  <c r="E13"/>
  <c r="D13"/>
  <c r="C13"/>
  <c r="B13"/>
  <c r="A12"/>
  <c r="I12"/>
  <c r="H12"/>
  <c r="G12"/>
  <c r="F12"/>
  <c r="E12"/>
  <c r="D12"/>
  <c r="C12"/>
  <c r="B12"/>
  <c r="A11"/>
  <c r="I11"/>
  <c r="H11"/>
  <c r="G11"/>
  <c r="F11"/>
  <c r="E11"/>
  <c r="D11"/>
  <c r="C11"/>
  <c r="B11"/>
  <c r="A10"/>
  <c r="I10"/>
  <c r="H10"/>
  <c r="G10"/>
  <c r="F10"/>
  <c r="E10"/>
  <c r="D10"/>
  <c r="C10"/>
  <c r="B10"/>
  <c r="A9"/>
  <c r="I9"/>
  <c r="H9"/>
  <c r="G9"/>
  <c r="F9"/>
  <c r="E9"/>
  <c r="D9"/>
  <c r="C9"/>
  <c r="B9"/>
  <c r="E1"/>
  <c r="E3"/>
  <c r="B2"/>
  <c r="B1"/>
  <c r="B3"/>
  <c r="M7" i="14"/>
  <c r="M12"/>
  <c r="M30"/>
  <c r="M32"/>
  <c r="M34"/>
  <c r="M38"/>
  <c r="M40"/>
  <c r="M41"/>
  <c r="M42"/>
  <c r="M46"/>
  <c r="M49"/>
  <c r="M53"/>
  <c r="M58"/>
  <c r="M61"/>
  <c r="M62"/>
  <c r="M70"/>
  <c r="M73"/>
  <c r="M77"/>
  <c r="M82"/>
  <c r="M98"/>
  <c r="M119"/>
  <c r="M120"/>
  <c r="M125"/>
  <c r="M133"/>
  <c r="M135"/>
  <c r="M137"/>
  <c r="M153"/>
  <c r="M155"/>
  <c r="M158"/>
  <c r="E12"/>
  <c r="E17"/>
  <c r="E22"/>
  <c r="E23"/>
  <c r="E24"/>
  <c r="E25"/>
  <c r="E30"/>
  <c r="E32"/>
  <c r="E34"/>
  <c r="E38"/>
  <c r="E40"/>
  <c r="E41"/>
  <c r="E42"/>
  <c r="E46"/>
  <c r="E49"/>
  <c r="E53"/>
  <c r="E58"/>
  <c r="E61"/>
  <c r="E62"/>
  <c r="E70"/>
  <c r="E73"/>
  <c r="E77"/>
  <c r="E82"/>
  <c r="E98"/>
  <c r="E119"/>
  <c r="E120"/>
  <c r="E125"/>
  <c r="E133"/>
  <c r="E135"/>
  <c r="E137"/>
  <c r="E153"/>
  <c r="E155"/>
  <c r="E158"/>
  <c r="E7"/>
  <c r="AY158"/>
  <c r="AY155"/>
  <c r="AY153"/>
  <c r="AY137"/>
  <c r="AY135"/>
  <c r="AY133"/>
  <c r="AY125"/>
  <c r="AY120"/>
  <c r="AY119"/>
  <c r="AY98"/>
  <c r="AY82"/>
  <c r="AY77"/>
  <c r="AY73"/>
  <c r="AY70"/>
  <c r="AY62"/>
  <c r="AY61"/>
  <c r="AY58"/>
  <c r="AY53"/>
  <c r="AY49"/>
  <c r="AY46"/>
  <c r="AY42"/>
  <c r="AY41"/>
  <c r="AY40"/>
  <c r="AY38"/>
  <c r="AY34"/>
  <c r="AY32"/>
  <c r="AY30"/>
  <c r="AY25"/>
  <c r="AY24"/>
  <c r="AY22"/>
  <c r="AY17"/>
  <c r="AY12"/>
  <c r="AY7"/>
  <c r="AY23"/>
  <c r="B50" i="1"/>
  <c r="A40"/>
  <c r="K1"/>
  <c r="B13"/>
  <c r="C13"/>
  <c r="E13"/>
  <c r="F13"/>
  <c r="B15"/>
  <c r="C15"/>
  <c r="E15"/>
  <c r="F15"/>
  <c r="M11"/>
  <c r="B9"/>
  <c r="C9"/>
  <c r="E9"/>
  <c r="F9"/>
  <c r="M10"/>
  <c r="M9"/>
  <c r="H33"/>
  <c r="K33"/>
  <c r="B14"/>
  <c r="C14"/>
  <c r="E14"/>
  <c r="F14"/>
  <c r="M8"/>
  <c r="N1"/>
  <c r="B12"/>
  <c r="B18"/>
  <c r="C12"/>
  <c r="E12"/>
  <c r="C18"/>
  <c r="E18"/>
  <c r="F18"/>
  <c r="B8"/>
  <c r="C8"/>
  <c r="E8"/>
  <c r="F8"/>
  <c r="M6"/>
  <c r="D18"/>
  <c r="U10"/>
  <c r="U9"/>
  <c r="H11"/>
  <c r="U7"/>
  <c r="U11"/>
  <c r="Y11"/>
  <c r="W11"/>
  <c r="I11"/>
  <c r="R11"/>
  <c r="S11"/>
  <c r="Y10"/>
  <c r="W10"/>
  <c r="R10"/>
  <c r="S10"/>
  <c r="Y9"/>
  <c r="W9"/>
  <c r="R9"/>
  <c r="S9"/>
  <c r="U8"/>
  <c r="Y8"/>
  <c r="W8"/>
  <c r="R8"/>
  <c r="S8"/>
  <c r="Y7"/>
  <c r="W7"/>
  <c r="R7"/>
  <c r="S7"/>
  <c r="U6"/>
  <c r="Y6"/>
  <c r="W6"/>
  <c r="R6"/>
  <c r="S6"/>
  <c r="J11"/>
  <c r="I10"/>
  <c r="J10"/>
  <c r="I9"/>
  <c r="J9"/>
  <c r="I8"/>
  <c r="J8"/>
  <c r="I7"/>
  <c r="J7"/>
  <c r="I6"/>
  <c r="J6"/>
  <c r="B19"/>
  <c r="E19"/>
  <c r="F19"/>
  <c r="A24"/>
  <c r="F24"/>
  <c r="A25"/>
  <c r="F25"/>
  <c r="T2"/>
  <c r="AL2"/>
  <c r="S24"/>
  <c r="A32"/>
  <c r="H24"/>
  <c r="L24"/>
  <c r="M24"/>
  <c r="K24"/>
  <c r="U24"/>
  <c r="T24"/>
  <c r="AL3"/>
  <c r="B6"/>
  <c r="C6"/>
  <c r="E6"/>
  <c r="F6"/>
  <c r="L33"/>
  <c r="S29"/>
  <c r="S32"/>
  <c r="S30"/>
  <c r="M33"/>
  <c r="U33"/>
  <c r="T33"/>
  <c r="AL7"/>
  <c r="AL8"/>
  <c r="AL9"/>
  <c r="AL10"/>
  <c r="AL11"/>
  <c r="AL12"/>
  <c r="AL13"/>
  <c r="W1"/>
  <c r="Y1"/>
  <c r="Z1"/>
  <c r="W2"/>
  <c r="Y2"/>
  <c r="Z2"/>
  <c r="M13"/>
  <c r="AL15"/>
  <c r="V24"/>
  <c r="A33"/>
  <c r="H25"/>
  <c r="V25"/>
  <c r="A34"/>
  <c r="H26"/>
  <c r="V26"/>
  <c r="A35"/>
  <c r="H27"/>
  <c r="V27"/>
  <c r="A36"/>
  <c r="H28"/>
  <c r="V28"/>
  <c r="A37"/>
  <c r="H29"/>
  <c r="V29"/>
  <c r="AL1"/>
  <c r="E2"/>
  <c r="W3"/>
  <c r="H34"/>
  <c r="F12"/>
  <c r="B7"/>
  <c r="C7"/>
  <c r="E7"/>
  <c r="F7"/>
  <c r="S25"/>
  <c r="B28"/>
  <c r="S28"/>
  <c r="Y40"/>
  <c r="AL6"/>
  <c r="H31"/>
  <c r="K31"/>
  <c r="L31"/>
  <c r="M31"/>
  <c r="U31"/>
  <c r="T31"/>
  <c r="AL5"/>
  <c r="L25"/>
  <c r="S33"/>
  <c r="M25"/>
  <c r="K25"/>
  <c r="U25"/>
  <c r="T25"/>
  <c r="L26"/>
  <c r="M26"/>
  <c r="K26"/>
  <c r="U26"/>
  <c r="T26"/>
  <c r="L27"/>
  <c r="M27"/>
  <c r="K27"/>
  <c r="U27"/>
  <c r="T27"/>
  <c r="L28"/>
  <c r="M28"/>
  <c r="K28"/>
  <c r="U28"/>
  <c r="T28"/>
  <c r="K29"/>
  <c r="L29"/>
  <c r="M29"/>
  <c r="U29"/>
  <c r="T29"/>
  <c r="L30"/>
  <c r="M30"/>
  <c r="K30"/>
  <c r="U30"/>
  <c r="T30"/>
  <c r="A41"/>
  <c r="H32"/>
  <c r="K32"/>
  <c r="L32"/>
  <c r="M32"/>
  <c r="U32"/>
  <c r="T32"/>
  <c r="K34"/>
  <c r="L34"/>
  <c r="M34"/>
  <c r="U34"/>
  <c r="T34"/>
  <c r="H35"/>
  <c r="K35"/>
  <c r="L35"/>
  <c r="M35"/>
  <c r="U35"/>
  <c r="T35"/>
  <c r="H36"/>
  <c r="K36"/>
  <c r="L36"/>
  <c r="M36"/>
  <c r="U36"/>
  <c r="T36"/>
  <c r="H37"/>
  <c r="K37"/>
  <c r="L37"/>
  <c r="M37"/>
  <c r="U37"/>
  <c r="T37"/>
  <c r="N37"/>
  <c r="N36"/>
  <c r="N35"/>
  <c r="N34"/>
  <c r="N33"/>
  <c r="N32"/>
  <c r="N31"/>
  <c r="N30"/>
  <c r="N29"/>
  <c r="N28"/>
  <c r="N27"/>
  <c r="N26"/>
  <c r="N25"/>
  <c r="N24"/>
  <c r="N9"/>
  <c r="N8"/>
  <c r="N6"/>
  <c r="T41"/>
  <c r="C41"/>
  <c r="Y41"/>
  <c r="AE41"/>
  <c r="AG41"/>
  <c r="N41"/>
  <c r="AC41"/>
  <c r="AF41"/>
  <c r="L41"/>
  <c r="AA41"/>
  <c r="J41"/>
  <c r="H41"/>
  <c r="V41"/>
  <c r="E41"/>
  <c r="T40"/>
  <c r="C40"/>
  <c r="H40"/>
  <c r="AE40"/>
  <c r="AG40"/>
  <c r="N40"/>
  <c r="AC40"/>
  <c r="AF40"/>
  <c r="L40"/>
  <c r="AA40"/>
  <c r="J40"/>
  <c r="V40"/>
  <c r="E40"/>
  <c r="S40"/>
  <c r="AD41"/>
  <c r="AB41"/>
  <c r="Z41"/>
  <c r="W41"/>
  <c r="U41"/>
  <c r="S41"/>
  <c r="AD40"/>
  <c r="AB40"/>
  <c r="Z40"/>
  <c r="W40"/>
  <c r="U40"/>
  <c r="D37"/>
  <c r="E37"/>
  <c r="U59"/>
  <c r="X59"/>
  <c r="F37"/>
  <c r="C37"/>
  <c r="E36"/>
  <c r="U58"/>
  <c r="E35"/>
  <c r="U57"/>
  <c r="E34"/>
  <c r="U56"/>
  <c r="E33"/>
  <c r="U55"/>
  <c r="E32"/>
  <c r="U54"/>
  <c r="A49"/>
  <c r="J49"/>
  <c r="I49"/>
  <c r="H49"/>
  <c r="F49"/>
  <c r="E49"/>
  <c r="D49"/>
  <c r="C49"/>
  <c r="A48"/>
  <c r="J48"/>
  <c r="I48"/>
  <c r="H48"/>
  <c r="F48"/>
  <c r="E48"/>
  <c r="D48"/>
  <c r="C48"/>
  <c r="A47"/>
  <c r="J47"/>
  <c r="I47"/>
  <c r="H47"/>
  <c r="F47"/>
  <c r="E47"/>
  <c r="D47"/>
  <c r="C47"/>
  <c r="B47"/>
  <c r="A46"/>
  <c r="J46"/>
  <c r="I46"/>
  <c r="H46"/>
  <c r="F46"/>
  <c r="E46"/>
  <c r="D46"/>
  <c r="C46"/>
  <c r="B46"/>
  <c r="A45"/>
  <c r="J45"/>
  <c r="I45"/>
  <c r="H45"/>
  <c r="F45"/>
  <c r="E45"/>
  <c r="D45"/>
  <c r="C45"/>
  <c r="B45"/>
  <c r="A44"/>
  <c r="J44"/>
  <c r="I44"/>
  <c r="H44"/>
  <c r="F44"/>
  <c r="E44"/>
  <c r="D44"/>
  <c r="C44"/>
  <c r="B44"/>
  <c r="S31"/>
  <c r="S27"/>
  <c r="S26"/>
  <c r="S2"/>
  <c r="H1"/>
  <c r="R40"/>
  <c r="R41"/>
  <c r="M41"/>
  <c r="K41"/>
  <c r="I41"/>
  <c r="F41"/>
  <c r="D41"/>
  <c r="B41"/>
  <c r="M40"/>
  <c r="K40"/>
  <c r="I40"/>
  <c r="F40"/>
  <c r="D40"/>
  <c r="B40"/>
  <c r="E3"/>
  <c r="A26"/>
  <c r="B2"/>
  <c r="Z3"/>
  <c r="T59"/>
  <c r="V59"/>
  <c r="A27"/>
  <c r="F27"/>
  <c r="F26"/>
  <c r="R13"/>
  <c r="I4"/>
  <c r="J4"/>
  <c r="K4"/>
  <c r="L4"/>
  <c r="M4"/>
  <c r="H4"/>
  <c r="B3"/>
  <c r="C19"/>
  <c r="L22"/>
  <c r="L21"/>
  <c r="L20"/>
  <c r="L19"/>
  <c r="L18"/>
  <c r="L17"/>
  <c r="L16"/>
  <c r="A28"/>
  <c r="F28"/>
  <c r="C28"/>
  <c r="D28"/>
  <c r="E28"/>
  <c r="D36"/>
  <c r="X58"/>
  <c r="F36"/>
  <c r="C36"/>
  <c r="D35"/>
  <c r="X57"/>
  <c r="F35"/>
  <c r="C35"/>
  <c r="T58"/>
  <c r="V58"/>
  <c r="T57"/>
  <c r="V57"/>
  <c r="B49"/>
  <c r="B48"/>
  <c r="D34"/>
  <c r="X56"/>
  <c r="T56"/>
  <c r="V56"/>
  <c r="F34"/>
  <c r="C34"/>
  <c r="D33"/>
  <c r="X55"/>
  <c r="T55"/>
  <c r="V55"/>
  <c r="F33"/>
  <c r="C33"/>
  <c r="D24"/>
  <c r="E24"/>
  <c r="C24"/>
  <c r="AL14"/>
  <c r="D26"/>
  <c r="E26"/>
  <c r="C26"/>
  <c r="C25"/>
  <c r="D25"/>
  <c r="E25"/>
  <c r="C27"/>
  <c r="D27"/>
  <c r="E27"/>
  <c r="D32"/>
  <c r="AL4"/>
  <c r="AL16"/>
  <c r="AL17"/>
  <c r="AL18"/>
  <c r="E1"/>
  <c r="X54"/>
  <c r="T54"/>
  <c r="V54"/>
  <c r="F32"/>
  <c r="C32"/>
  <c r="E1" i="2"/>
  <c r="B2"/>
  <c r="A9"/>
  <c r="B9"/>
  <c r="A34"/>
  <c r="I34"/>
  <c r="H34"/>
  <c r="G34"/>
  <c r="F34"/>
  <c r="E34"/>
  <c r="D34"/>
  <c r="C34"/>
  <c r="B34"/>
  <c r="A33"/>
  <c r="I33"/>
  <c r="H33"/>
  <c r="G33"/>
  <c r="F33"/>
  <c r="E33"/>
  <c r="D33"/>
  <c r="C33"/>
  <c r="B33"/>
  <c r="A32"/>
  <c r="I32"/>
  <c r="H32"/>
  <c r="G32"/>
  <c r="F32"/>
  <c r="E32"/>
  <c r="D32"/>
  <c r="C32"/>
  <c r="B32"/>
  <c r="A31"/>
  <c r="I31"/>
  <c r="H31"/>
  <c r="G31"/>
  <c r="F31"/>
  <c r="E31"/>
  <c r="D31"/>
  <c r="C31"/>
  <c r="B31"/>
  <c r="A30"/>
  <c r="I30"/>
  <c r="H30"/>
  <c r="G30"/>
  <c r="F30"/>
  <c r="E30"/>
  <c r="D30"/>
  <c r="C30"/>
  <c r="B30"/>
  <c r="A29"/>
  <c r="I29"/>
  <c r="H29"/>
  <c r="G29"/>
  <c r="F29"/>
  <c r="E29"/>
  <c r="D29"/>
  <c r="C29"/>
  <c r="B29"/>
  <c r="A28"/>
  <c r="I28"/>
  <c r="H28"/>
  <c r="G28"/>
  <c r="F28"/>
  <c r="E28"/>
  <c r="D28"/>
  <c r="C28"/>
  <c r="B28"/>
  <c r="A27"/>
  <c r="I27"/>
  <c r="H27"/>
  <c r="G27"/>
  <c r="F27"/>
  <c r="E27"/>
  <c r="D27"/>
  <c r="C27"/>
  <c r="B27"/>
  <c r="A26"/>
  <c r="I26"/>
  <c r="H26"/>
  <c r="G26"/>
  <c r="F26"/>
  <c r="E26"/>
  <c r="D26"/>
  <c r="C26"/>
  <c r="B26"/>
  <c r="A25"/>
  <c r="I25"/>
  <c r="H25"/>
  <c r="G25"/>
  <c r="F25"/>
  <c r="E25"/>
  <c r="D25"/>
  <c r="C25"/>
  <c r="B25"/>
  <c r="A24"/>
  <c r="I24"/>
  <c r="H24"/>
  <c r="G24"/>
  <c r="F24"/>
  <c r="E24"/>
  <c r="D24"/>
  <c r="C24"/>
  <c r="B24"/>
  <c r="A23"/>
  <c r="I23"/>
  <c r="H23"/>
  <c r="G23"/>
  <c r="F23"/>
  <c r="E23"/>
  <c r="D23"/>
  <c r="C23"/>
  <c r="B23"/>
  <c r="A22"/>
  <c r="I22"/>
  <c r="H22"/>
  <c r="G22"/>
  <c r="F22"/>
  <c r="E22"/>
  <c r="D22"/>
  <c r="C22"/>
  <c r="B22"/>
  <c r="A21"/>
  <c r="I21"/>
  <c r="H21"/>
  <c r="G21"/>
  <c r="F21"/>
  <c r="E21"/>
  <c r="D21"/>
  <c r="C21"/>
  <c r="B21"/>
  <c r="A20"/>
  <c r="I20"/>
  <c r="H20"/>
  <c r="G20"/>
  <c r="F20"/>
  <c r="E20"/>
  <c r="D20"/>
  <c r="C20"/>
  <c r="B20"/>
  <c r="A19"/>
  <c r="I19"/>
  <c r="H19"/>
  <c r="G19"/>
  <c r="F19"/>
  <c r="E19"/>
  <c r="D19"/>
  <c r="C19"/>
  <c r="B19"/>
  <c r="A18"/>
  <c r="I18"/>
  <c r="H18"/>
  <c r="G18"/>
  <c r="F18"/>
  <c r="E18"/>
  <c r="D18"/>
  <c r="C18"/>
  <c r="B18"/>
  <c r="A17"/>
  <c r="I17"/>
  <c r="H17"/>
  <c r="G17"/>
  <c r="F17"/>
  <c r="E17"/>
  <c r="D17"/>
  <c r="C17"/>
  <c r="B17"/>
  <c r="A16"/>
  <c r="I16"/>
  <c r="H16"/>
  <c r="G16"/>
  <c r="F16"/>
  <c r="E16"/>
  <c r="D16"/>
  <c r="C16"/>
  <c r="B16"/>
  <c r="A15"/>
  <c r="I15"/>
  <c r="H15"/>
  <c r="G15"/>
  <c r="F15"/>
  <c r="E15"/>
  <c r="D15"/>
  <c r="C15"/>
  <c r="B15"/>
  <c r="A14"/>
  <c r="I14"/>
  <c r="H14"/>
  <c r="G14"/>
  <c r="F14"/>
  <c r="E14"/>
  <c r="D14"/>
  <c r="C14"/>
  <c r="B14"/>
  <c r="A13"/>
  <c r="I13"/>
  <c r="H13"/>
  <c r="G13"/>
  <c r="F13"/>
  <c r="E13"/>
  <c r="D13"/>
  <c r="C13"/>
  <c r="B13"/>
  <c r="A12"/>
  <c r="I12"/>
  <c r="H12"/>
  <c r="G12"/>
  <c r="F12"/>
  <c r="E12"/>
  <c r="D12"/>
  <c r="C12"/>
  <c r="B12"/>
  <c r="A11"/>
  <c r="I11"/>
  <c r="H11"/>
  <c r="G11"/>
  <c r="F11"/>
  <c r="E11"/>
  <c r="D11"/>
  <c r="C11"/>
  <c r="B11"/>
  <c r="A10"/>
  <c r="I10"/>
  <c r="H10"/>
  <c r="G10"/>
  <c r="F10"/>
  <c r="E10"/>
  <c r="D10"/>
  <c r="C10"/>
  <c r="B10"/>
  <c r="I9"/>
  <c r="H9"/>
  <c r="G9"/>
  <c r="F9"/>
  <c r="E9"/>
  <c r="D9"/>
  <c r="C9"/>
  <c r="B1"/>
  <c r="B3"/>
  <c r="E3"/>
  <c r="BF4" i="16"/>
  <c r="BF5"/>
  <c r="BF6"/>
  <c r="BF7"/>
  <c r="BF8"/>
  <c r="F27" i="13"/>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E2"/>
  <c r="E3"/>
  <c r="F3"/>
  <c r="G3"/>
  <c r="H3"/>
  <c r="I3"/>
  <c r="J3"/>
  <c r="K3"/>
  <c r="L3"/>
  <c r="M3"/>
  <c r="E4"/>
  <c r="F4"/>
  <c r="G4"/>
  <c r="H4"/>
  <c r="I4"/>
  <c r="J4"/>
  <c r="K4"/>
  <c r="L4"/>
  <c r="M4"/>
  <c r="E5"/>
  <c r="F5"/>
  <c r="G5"/>
  <c r="H5"/>
  <c r="I5"/>
  <c r="J5"/>
  <c r="K5"/>
  <c r="L5"/>
  <c r="M5"/>
  <c r="E6"/>
  <c r="F6"/>
  <c r="G6"/>
  <c r="H6"/>
  <c r="I6"/>
  <c r="J6"/>
  <c r="K6"/>
  <c r="L6"/>
  <c r="M6"/>
  <c r="E7"/>
  <c r="F7"/>
  <c r="G7"/>
  <c r="H7"/>
  <c r="I7"/>
  <c r="J7"/>
  <c r="K7"/>
  <c r="L7"/>
  <c r="M7"/>
  <c r="E8"/>
  <c r="F8"/>
  <c r="G8"/>
  <c r="H8"/>
  <c r="I8"/>
  <c r="J8"/>
  <c r="K8"/>
  <c r="L8"/>
  <c r="M8"/>
  <c r="E9"/>
  <c r="F9"/>
  <c r="G9"/>
  <c r="H9"/>
  <c r="I9"/>
  <c r="J9"/>
  <c r="K9"/>
  <c r="L9"/>
  <c r="M9"/>
  <c r="E10"/>
  <c r="F10"/>
  <c r="G10"/>
  <c r="H10"/>
  <c r="I10"/>
  <c r="J10"/>
  <c r="K10"/>
  <c r="L10"/>
  <c r="M10"/>
  <c r="E11"/>
  <c r="F11"/>
  <c r="G11"/>
  <c r="H11"/>
  <c r="I11"/>
  <c r="J11"/>
  <c r="K11"/>
  <c r="L11"/>
  <c r="M11"/>
  <c r="E12"/>
  <c r="F12"/>
  <c r="G12"/>
  <c r="H12"/>
  <c r="I12"/>
  <c r="J12"/>
  <c r="K12"/>
  <c r="L12"/>
  <c r="M12"/>
  <c r="E13"/>
  <c r="F13"/>
  <c r="G13"/>
  <c r="H13"/>
  <c r="I13"/>
  <c r="J13"/>
  <c r="K13"/>
  <c r="L13"/>
  <c r="M13"/>
  <c r="E14"/>
  <c r="F14"/>
  <c r="G14"/>
  <c r="H14"/>
  <c r="I14"/>
  <c r="J14"/>
  <c r="K14"/>
  <c r="L14"/>
  <c r="M14"/>
  <c r="E15"/>
  <c r="F15"/>
  <c r="G15"/>
  <c r="H15"/>
  <c r="I15"/>
  <c r="J15"/>
  <c r="K15"/>
  <c r="L15"/>
  <c r="M15"/>
  <c r="E16"/>
  <c r="F16"/>
  <c r="G16"/>
  <c r="H16"/>
  <c r="I16"/>
  <c r="J16"/>
  <c r="K16"/>
  <c r="L16"/>
  <c r="M16"/>
  <c r="E17"/>
  <c r="F17"/>
  <c r="G17"/>
  <c r="H17"/>
  <c r="I17"/>
  <c r="J17"/>
  <c r="K17"/>
  <c r="L17"/>
  <c r="M17"/>
  <c r="E18"/>
  <c r="F18"/>
  <c r="G18"/>
  <c r="H18"/>
  <c r="I18"/>
  <c r="J18"/>
  <c r="K18"/>
  <c r="L18"/>
  <c r="M18"/>
  <c r="E19"/>
  <c r="F19"/>
  <c r="G19"/>
  <c r="H19"/>
  <c r="I19"/>
  <c r="J19"/>
  <c r="K19"/>
  <c r="L19"/>
  <c r="M19"/>
  <c r="E20"/>
  <c r="F20"/>
  <c r="G20"/>
  <c r="H20"/>
  <c r="I20"/>
  <c r="J20"/>
  <c r="K20"/>
  <c r="L20"/>
  <c r="M20"/>
  <c r="E21"/>
  <c r="F21"/>
  <c r="G21"/>
  <c r="H21"/>
  <c r="I21"/>
  <c r="J21"/>
  <c r="K21"/>
  <c r="L21"/>
  <c r="M21"/>
  <c r="E22"/>
  <c r="F22"/>
  <c r="G22"/>
  <c r="H22"/>
  <c r="I22"/>
  <c r="J22"/>
  <c r="K22"/>
  <c r="L22"/>
  <c r="M22"/>
  <c r="E23"/>
  <c r="F23"/>
  <c r="G23"/>
  <c r="H23"/>
  <c r="I23"/>
  <c r="J23"/>
  <c r="K23"/>
  <c r="L23"/>
  <c r="M23"/>
  <c r="E24"/>
  <c r="F24"/>
  <c r="G24"/>
  <c r="H24"/>
  <c r="I24"/>
  <c r="J24"/>
  <c r="K24"/>
  <c r="L24"/>
  <c r="M24"/>
  <c r="E25"/>
  <c r="F25"/>
  <c r="G25"/>
  <c r="H25"/>
  <c r="I25"/>
  <c r="J25"/>
  <c r="K25"/>
  <c r="L25"/>
  <c r="M25"/>
  <c r="E26"/>
  <c r="F26"/>
  <c r="G26"/>
  <c r="H26"/>
  <c r="I26"/>
  <c r="J26"/>
  <c r="K26"/>
  <c r="L26"/>
  <c r="M26"/>
  <c r="E27"/>
  <c r="G27"/>
  <c r="H27"/>
  <c r="I27"/>
  <c r="J27"/>
  <c r="K27"/>
  <c r="L27"/>
  <c r="M27"/>
  <c r="E28"/>
  <c r="G28"/>
  <c r="H28"/>
  <c r="I28"/>
  <c r="J28"/>
  <c r="K28"/>
  <c r="L28"/>
  <c r="M28"/>
  <c r="E29"/>
  <c r="G29"/>
  <c r="H29"/>
  <c r="I29"/>
  <c r="J29"/>
  <c r="K29"/>
  <c r="L29"/>
  <c r="M29"/>
  <c r="E30"/>
  <c r="G30"/>
  <c r="H30"/>
  <c r="I30"/>
  <c r="J30"/>
  <c r="K30"/>
  <c r="L30"/>
  <c r="M30"/>
  <c r="E31"/>
  <c r="G31"/>
  <c r="H31"/>
  <c r="I31"/>
  <c r="J31"/>
  <c r="K31"/>
  <c r="L31"/>
  <c r="M31"/>
  <c r="E32"/>
  <c r="G32"/>
  <c r="H32"/>
  <c r="I32"/>
  <c r="J32"/>
  <c r="K32"/>
  <c r="L32"/>
  <c r="M32"/>
  <c r="E33"/>
  <c r="G33"/>
  <c r="H33"/>
  <c r="I33"/>
  <c r="J33"/>
  <c r="K33"/>
  <c r="L33"/>
  <c r="M33"/>
  <c r="E34"/>
  <c r="G34"/>
  <c r="H34"/>
  <c r="I34"/>
  <c r="J34"/>
  <c r="K34"/>
  <c r="L34"/>
  <c r="M34"/>
  <c r="E35"/>
  <c r="G35"/>
  <c r="H35"/>
  <c r="I35"/>
  <c r="J35"/>
  <c r="K35"/>
  <c r="L35"/>
  <c r="M35"/>
  <c r="E36"/>
  <c r="G36"/>
  <c r="H36"/>
  <c r="I36"/>
  <c r="J36"/>
  <c r="K36"/>
  <c r="L36"/>
  <c r="M36"/>
  <c r="E37"/>
  <c r="G37"/>
  <c r="H37"/>
  <c r="I37"/>
  <c r="J37"/>
  <c r="K37"/>
  <c r="L37"/>
  <c r="M37"/>
  <c r="E38"/>
  <c r="G38"/>
  <c r="H38"/>
  <c r="I38"/>
  <c r="J38"/>
  <c r="K38"/>
  <c r="L38"/>
  <c r="M38"/>
  <c r="E39"/>
  <c r="G39"/>
  <c r="H39"/>
  <c r="I39"/>
  <c r="J39"/>
  <c r="K39"/>
  <c r="L39"/>
  <c r="M39"/>
  <c r="E40"/>
  <c r="G40"/>
  <c r="H40"/>
  <c r="I40"/>
  <c r="J40"/>
  <c r="K40"/>
  <c r="L40"/>
  <c r="M40"/>
  <c r="E41"/>
  <c r="G41"/>
  <c r="H41"/>
  <c r="I41"/>
  <c r="J41"/>
  <c r="K41"/>
  <c r="L41"/>
  <c r="M41"/>
  <c r="E42"/>
  <c r="G42"/>
  <c r="H42"/>
  <c r="I42"/>
  <c r="J42"/>
  <c r="K42"/>
  <c r="L42"/>
  <c r="M42"/>
  <c r="E43"/>
  <c r="G43"/>
  <c r="H43"/>
  <c r="I43"/>
  <c r="J43"/>
  <c r="K43"/>
  <c r="L43"/>
  <c r="M43"/>
  <c r="E44"/>
  <c r="G44"/>
  <c r="H44"/>
  <c r="I44"/>
  <c r="J44"/>
  <c r="K44"/>
  <c r="L44"/>
  <c r="M44"/>
  <c r="E45"/>
  <c r="G45"/>
  <c r="H45"/>
  <c r="I45"/>
  <c r="J45"/>
  <c r="K45"/>
  <c r="L45"/>
  <c r="M45"/>
  <c r="E46"/>
  <c r="G46"/>
  <c r="H46"/>
  <c r="I46"/>
  <c r="J46"/>
  <c r="K46"/>
  <c r="L46"/>
  <c r="M46"/>
  <c r="E47"/>
  <c r="G47"/>
  <c r="H47"/>
  <c r="I47"/>
  <c r="J47"/>
  <c r="K47"/>
  <c r="L47"/>
  <c r="M47"/>
  <c r="E48"/>
  <c r="G48"/>
  <c r="H48"/>
  <c r="I48"/>
  <c r="J48"/>
  <c r="K48"/>
  <c r="L48"/>
  <c r="M48"/>
  <c r="E49"/>
  <c r="G49"/>
  <c r="H49"/>
  <c r="I49"/>
  <c r="J49"/>
  <c r="K49"/>
  <c r="L49"/>
  <c r="M49"/>
  <c r="E50"/>
  <c r="G50"/>
  <c r="H50"/>
  <c r="I50"/>
  <c r="J50"/>
  <c r="K50"/>
  <c r="L50"/>
  <c r="M50"/>
  <c r="E51"/>
  <c r="G51"/>
  <c r="H51"/>
  <c r="I51"/>
  <c r="J51"/>
  <c r="K51"/>
  <c r="L51"/>
  <c r="M51"/>
  <c r="E52"/>
  <c r="G52"/>
  <c r="H52"/>
  <c r="I52"/>
  <c r="J52"/>
  <c r="K52"/>
  <c r="L52"/>
  <c r="M52"/>
  <c r="E53"/>
  <c r="G53"/>
  <c r="H53"/>
  <c r="I53"/>
  <c r="J53"/>
  <c r="K53"/>
  <c r="L53"/>
  <c r="M53"/>
  <c r="E54"/>
  <c r="G54"/>
  <c r="H54"/>
  <c r="I54"/>
  <c r="J54"/>
  <c r="K54"/>
  <c r="L54"/>
  <c r="M54"/>
  <c r="E55"/>
  <c r="G55"/>
  <c r="H55"/>
  <c r="I55"/>
  <c r="J55"/>
  <c r="K55"/>
  <c r="L55"/>
  <c r="M55"/>
  <c r="E56"/>
  <c r="G56"/>
  <c r="H56"/>
  <c r="I56"/>
  <c r="J56"/>
  <c r="K56"/>
  <c r="L56"/>
  <c r="M56"/>
  <c r="E57"/>
  <c r="G57"/>
  <c r="H57"/>
  <c r="I57"/>
  <c r="J57"/>
  <c r="K57"/>
  <c r="L57"/>
  <c r="M57"/>
  <c r="E58"/>
  <c r="G58"/>
  <c r="H58"/>
  <c r="I58"/>
  <c r="J58"/>
  <c r="K58"/>
  <c r="L58"/>
  <c r="M58"/>
  <c r="E59"/>
  <c r="G59"/>
  <c r="H59"/>
  <c r="I59"/>
  <c r="J59"/>
  <c r="K59"/>
  <c r="L59"/>
  <c r="M59"/>
  <c r="E60"/>
  <c r="G60"/>
  <c r="H60"/>
  <c r="I60"/>
  <c r="J60"/>
  <c r="K60"/>
  <c r="L60"/>
  <c r="M60"/>
  <c r="E61"/>
  <c r="G61"/>
  <c r="H61"/>
  <c r="I61"/>
  <c r="J61"/>
  <c r="K61"/>
  <c r="L61"/>
  <c r="M61"/>
  <c r="E62"/>
  <c r="G62"/>
  <c r="H62"/>
  <c r="I62"/>
  <c r="J62"/>
  <c r="K62"/>
  <c r="L62"/>
  <c r="M62"/>
  <c r="E63"/>
  <c r="G63"/>
  <c r="H63"/>
  <c r="I63"/>
  <c r="J63"/>
  <c r="K63"/>
  <c r="L63"/>
  <c r="M63"/>
  <c r="E64"/>
  <c r="G64"/>
  <c r="H64"/>
  <c r="I64"/>
  <c r="J64"/>
  <c r="K64"/>
  <c r="L64"/>
  <c r="M64"/>
  <c r="E65"/>
  <c r="G65"/>
  <c r="H65"/>
  <c r="I65"/>
  <c r="J65"/>
  <c r="K65"/>
  <c r="L65"/>
  <c r="M65"/>
  <c r="E66"/>
  <c r="G66"/>
  <c r="H66"/>
  <c r="I66"/>
  <c r="J66"/>
  <c r="K66"/>
  <c r="L66"/>
  <c r="M66"/>
  <c r="E67"/>
  <c r="G67"/>
  <c r="H67"/>
  <c r="I67"/>
  <c r="J67"/>
  <c r="K67"/>
  <c r="L67"/>
  <c r="M67"/>
  <c r="E68"/>
  <c r="G68"/>
  <c r="H68"/>
  <c r="I68"/>
  <c r="J68"/>
  <c r="K68"/>
  <c r="L68"/>
  <c r="M68"/>
  <c r="E69"/>
  <c r="G69"/>
  <c r="H69"/>
  <c r="I69"/>
  <c r="J69"/>
  <c r="K69"/>
  <c r="L69"/>
  <c r="M69"/>
  <c r="E70"/>
  <c r="G70"/>
  <c r="H70"/>
  <c r="I70"/>
  <c r="J70"/>
  <c r="K70"/>
  <c r="L70"/>
  <c r="M70"/>
  <c r="E71"/>
  <c r="G71"/>
  <c r="H71"/>
  <c r="I71"/>
  <c r="J71"/>
  <c r="K71"/>
  <c r="L71"/>
  <c r="M71"/>
  <c r="E72"/>
  <c r="G72"/>
  <c r="H72"/>
  <c r="I72"/>
  <c r="J72"/>
  <c r="K72"/>
  <c r="L72"/>
  <c r="M72"/>
  <c r="E73"/>
  <c r="G73"/>
  <c r="H73"/>
  <c r="I73"/>
  <c r="J73"/>
  <c r="K73"/>
  <c r="L73"/>
  <c r="M73"/>
  <c r="E74"/>
  <c r="G74"/>
  <c r="H74"/>
  <c r="I74"/>
  <c r="J74"/>
  <c r="K74"/>
  <c r="L74"/>
  <c r="M74"/>
  <c r="E75"/>
  <c r="G75"/>
  <c r="H75"/>
  <c r="I75"/>
  <c r="J75"/>
  <c r="K75"/>
  <c r="L75"/>
  <c r="M75"/>
  <c r="E76"/>
  <c r="G76"/>
  <c r="H76"/>
  <c r="I76"/>
  <c r="J76"/>
  <c r="K76"/>
  <c r="L76"/>
  <c r="M76"/>
  <c r="E77"/>
  <c r="G77"/>
  <c r="H77"/>
  <c r="I77"/>
  <c r="J77"/>
  <c r="K77"/>
  <c r="L77"/>
  <c r="M77"/>
  <c r="E78"/>
  <c r="G78"/>
  <c r="H78"/>
  <c r="I78"/>
  <c r="J78"/>
  <c r="K78"/>
  <c r="L78"/>
  <c r="M78"/>
  <c r="E79"/>
  <c r="G79"/>
  <c r="H79"/>
  <c r="I79"/>
  <c r="J79"/>
  <c r="K79"/>
  <c r="L79"/>
  <c r="M79"/>
  <c r="E80"/>
  <c r="G80"/>
  <c r="H80"/>
  <c r="I80"/>
  <c r="J80"/>
  <c r="K80"/>
  <c r="L80"/>
  <c r="M80"/>
  <c r="E81"/>
  <c r="G81"/>
  <c r="H81"/>
  <c r="I81"/>
  <c r="J81"/>
  <c r="K81"/>
  <c r="L81"/>
  <c r="M81"/>
  <c r="E82"/>
  <c r="G82"/>
  <c r="H82"/>
  <c r="I82"/>
  <c r="J82"/>
  <c r="K82"/>
  <c r="L82"/>
  <c r="M82"/>
  <c r="E83"/>
  <c r="G83"/>
  <c r="H83"/>
  <c r="I83"/>
  <c r="J83"/>
  <c r="K83"/>
  <c r="L83"/>
  <c r="M83"/>
  <c r="E84"/>
  <c r="G84"/>
  <c r="H84"/>
  <c r="I84"/>
  <c r="J84"/>
  <c r="K84"/>
  <c r="L84"/>
  <c r="M84"/>
  <c r="E85"/>
  <c r="G85"/>
  <c r="H85"/>
  <c r="I85"/>
  <c r="J85"/>
  <c r="K85"/>
  <c r="L85"/>
  <c r="M85"/>
  <c r="E86"/>
  <c r="G86"/>
  <c r="H86"/>
  <c r="I86"/>
  <c r="J86"/>
  <c r="K86"/>
  <c r="L86"/>
  <c r="M86"/>
  <c r="E87"/>
  <c r="G87"/>
  <c r="H87"/>
  <c r="I87"/>
  <c r="J87"/>
  <c r="K87"/>
  <c r="L87"/>
  <c r="M87"/>
  <c r="E88"/>
  <c r="G88"/>
  <c r="H88"/>
  <c r="I88"/>
  <c r="J88"/>
  <c r="K88"/>
  <c r="L88"/>
  <c r="M88"/>
  <c r="E89"/>
  <c r="G89"/>
  <c r="H89"/>
  <c r="I89"/>
  <c r="J89"/>
  <c r="K89"/>
  <c r="L89"/>
  <c r="M89"/>
  <c r="E90"/>
  <c r="G90"/>
  <c r="H90"/>
  <c r="I90"/>
  <c r="J90"/>
  <c r="K90"/>
  <c r="L90"/>
  <c r="M90"/>
  <c r="E91"/>
  <c r="G91"/>
  <c r="H91"/>
  <c r="I91"/>
  <c r="J91"/>
  <c r="K91"/>
  <c r="L91"/>
  <c r="M91"/>
  <c r="E92"/>
  <c r="G92"/>
  <c r="H92"/>
  <c r="I92"/>
  <c r="J92"/>
  <c r="K92"/>
  <c r="L92"/>
  <c r="M92"/>
  <c r="E93"/>
  <c r="G93"/>
  <c r="H93"/>
  <c r="I93"/>
  <c r="J93"/>
  <c r="K93"/>
  <c r="L93"/>
  <c r="M93"/>
  <c r="E94"/>
  <c r="G94"/>
  <c r="H94"/>
  <c r="I94"/>
  <c r="J94"/>
  <c r="K94"/>
  <c r="L94"/>
  <c r="M94"/>
  <c r="E95"/>
  <c r="G95"/>
  <c r="H95"/>
  <c r="I95"/>
  <c r="J95"/>
  <c r="K95"/>
  <c r="L95"/>
  <c r="M95"/>
  <c r="E96"/>
  <c r="G96"/>
  <c r="H96"/>
  <c r="I96"/>
  <c r="J96"/>
  <c r="K96"/>
  <c r="L96"/>
  <c r="M96"/>
  <c r="E97"/>
  <c r="G97"/>
  <c r="H97"/>
  <c r="I97"/>
  <c r="J97"/>
  <c r="K97"/>
  <c r="L97"/>
  <c r="M97"/>
  <c r="E98"/>
  <c r="G98"/>
  <c r="H98"/>
  <c r="I98"/>
  <c r="J98"/>
  <c r="K98"/>
  <c r="L98"/>
  <c r="M98"/>
  <c r="E99"/>
  <c r="G99"/>
  <c r="H99"/>
  <c r="I99"/>
  <c r="J99"/>
  <c r="K99"/>
  <c r="L99"/>
  <c r="M99"/>
  <c r="E100"/>
  <c r="G100"/>
  <c r="H100"/>
  <c r="I100"/>
  <c r="J100"/>
  <c r="K100"/>
  <c r="L100"/>
  <c r="M100"/>
  <c r="E101"/>
  <c r="G101"/>
  <c r="H101"/>
  <c r="I101"/>
  <c r="J101"/>
  <c r="K101"/>
  <c r="L101"/>
  <c r="M101"/>
  <c r="E102"/>
  <c r="G102"/>
  <c r="H102"/>
  <c r="I102"/>
  <c r="J102"/>
  <c r="K102"/>
  <c r="L102"/>
  <c r="M102"/>
  <c r="E103"/>
  <c r="G103"/>
  <c r="H103"/>
  <c r="I103"/>
  <c r="J103"/>
  <c r="K103"/>
  <c r="L103"/>
  <c r="M103"/>
  <c r="E104"/>
  <c r="G104"/>
  <c r="H104"/>
  <c r="I104"/>
  <c r="J104"/>
  <c r="K104"/>
  <c r="L104"/>
  <c r="M104"/>
  <c r="E105"/>
  <c r="G105"/>
  <c r="H105"/>
  <c r="I105"/>
  <c r="J105"/>
  <c r="K105"/>
  <c r="L105"/>
  <c r="M105"/>
  <c r="E106"/>
  <c r="G106"/>
  <c r="H106"/>
  <c r="I106"/>
  <c r="J106"/>
  <c r="K106"/>
  <c r="L106"/>
  <c r="M106"/>
  <c r="E107"/>
  <c r="G107"/>
  <c r="H107"/>
  <c r="I107"/>
  <c r="J107"/>
  <c r="K107"/>
  <c r="L107"/>
  <c r="M107"/>
  <c r="E108"/>
  <c r="G108"/>
  <c r="H108"/>
  <c r="I108"/>
  <c r="J108"/>
  <c r="K108"/>
  <c r="L108"/>
  <c r="M108"/>
  <c r="E109"/>
  <c r="G109"/>
  <c r="H109"/>
  <c r="I109"/>
  <c r="J109"/>
  <c r="K109"/>
  <c r="L109"/>
  <c r="M109"/>
  <c r="E110"/>
  <c r="G110"/>
  <c r="H110"/>
  <c r="I110"/>
  <c r="J110"/>
  <c r="K110"/>
  <c r="L110"/>
  <c r="M110"/>
  <c r="E111"/>
  <c r="G111"/>
  <c r="H111"/>
  <c r="I111"/>
  <c r="J111"/>
  <c r="K111"/>
  <c r="L111"/>
  <c r="M111"/>
  <c r="M2"/>
  <c r="L2"/>
  <c r="K2"/>
  <c r="J2"/>
  <c r="I2"/>
  <c r="H2"/>
  <c r="G2"/>
  <c r="F2"/>
  <c r="P3"/>
  <c r="Q3"/>
  <c r="R3"/>
  <c r="S3"/>
  <c r="T3"/>
  <c r="U3"/>
  <c r="AM3"/>
  <c r="P4"/>
  <c r="Q4"/>
  <c r="R4"/>
  <c r="S4"/>
  <c r="T4"/>
  <c r="U4"/>
  <c r="AM4"/>
  <c r="P5"/>
  <c r="Q5"/>
  <c r="R5"/>
  <c r="S5"/>
  <c r="T5"/>
  <c r="U5"/>
  <c r="AM5"/>
  <c r="P6"/>
  <c r="Q6"/>
  <c r="R6"/>
  <c r="S6"/>
  <c r="T6"/>
  <c r="U6"/>
  <c r="AM6"/>
  <c r="P7"/>
  <c r="Q7"/>
  <c r="R7"/>
  <c r="S7"/>
  <c r="T7"/>
  <c r="U7"/>
  <c r="AM7"/>
  <c r="P8"/>
  <c r="Q8"/>
  <c r="R8"/>
  <c r="S8"/>
  <c r="T8"/>
  <c r="U8"/>
  <c r="AM8"/>
  <c r="P9"/>
  <c r="Q9"/>
  <c r="R9"/>
  <c r="S9"/>
  <c r="T9"/>
  <c r="U9"/>
  <c r="AM9"/>
  <c r="P10"/>
  <c r="Q10"/>
  <c r="R10"/>
  <c r="S10"/>
  <c r="T10"/>
  <c r="U10"/>
  <c r="P11"/>
  <c r="Q11"/>
  <c r="R11"/>
  <c r="S11"/>
  <c r="T11"/>
  <c r="U11"/>
  <c r="AM11"/>
  <c r="P12"/>
  <c r="Q12"/>
  <c r="R12"/>
  <c r="S12"/>
  <c r="T12"/>
  <c r="U12"/>
  <c r="AM12"/>
  <c r="P13"/>
  <c r="Q13"/>
  <c r="R13"/>
  <c r="S13"/>
  <c r="T13"/>
  <c r="U13"/>
  <c r="AM13"/>
  <c r="P14"/>
  <c r="Q14"/>
  <c r="R14"/>
  <c r="S14"/>
  <c r="T14"/>
  <c r="U14"/>
  <c r="AM14"/>
  <c r="P15"/>
  <c r="Q15"/>
  <c r="R15"/>
  <c r="S15"/>
  <c r="T15"/>
  <c r="U15"/>
  <c r="AM15"/>
  <c r="P16"/>
  <c r="Q16"/>
  <c r="R16"/>
  <c r="S16"/>
  <c r="T16"/>
  <c r="U16"/>
  <c r="AM16"/>
  <c r="P17"/>
  <c r="Q17"/>
  <c r="R17"/>
  <c r="S17"/>
  <c r="T17"/>
  <c r="U17"/>
  <c r="AM17"/>
  <c r="P18"/>
  <c r="Q18"/>
  <c r="R18"/>
  <c r="S18"/>
  <c r="T18"/>
  <c r="U18"/>
  <c r="AM18"/>
  <c r="P19"/>
  <c r="Q19"/>
  <c r="R19"/>
  <c r="S19"/>
  <c r="T19"/>
  <c r="U19"/>
  <c r="AM19"/>
  <c r="P20"/>
  <c r="Q20"/>
  <c r="R20"/>
  <c r="S20"/>
  <c r="T20"/>
  <c r="U20"/>
  <c r="AM20"/>
  <c r="P21"/>
  <c r="Q21"/>
  <c r="R21"/>
  <c r="S21"/>
  <c r="T21"/>
  <c r="U21"/>
  <c r="AM21"/>
  <c r="P22"/>
  <c r="Q22"/>
  <c r="R22"/>
  <c r="S22"/>
  <c r="T22"/>
  <c r="U22"/>
  <c r="AM22"/>
  <c r="P23"/>
  <c r="Q23"/>
  <c r="R23"/>
  <c r="S23"/>
  <c r="T23"/>
  <c r="U23"/>
  <c r="AM23"/>
  <c r="P24"/>
  <c r="Q24"/>
  <c r="R24"/>
  <c r="S24"/>
  <c r="T24"/>
  <c r="U24"/>
  <c r="AM24"/>
  <c r="P25"/>
  <c r="Q25"/>
  <c r="R25"/>
  <c r="S25"/>
  <c r="T25"/>
  <c r="U25"/>
  <c r="AM25"/>
  <c r="P26"/>
  <c r="Q26"/>
  <c r="R26"/>
  <c r="S26"/>
  <c r="T26"/>
  <c r="U26"/>
  <c r="AM26"/>
  <c r="P27"/>
  <c r="Q27"/>
  <c r="R27"/>
  <c r="S27"/>
  <c r="T27"/>
  <c r="U27"/>
  <c r="AM27"/>
  <c r="P28"/>
  <c r="Q28"/>
  <c r="R28"/>
  <c r="S28"/>
  <c r="T28"/>
  <c r="U28"/>
  <c r="AM28"/>
  <c r="P29"/>
  <c r="Q29"/>
  <c r="R29"/>
  <c r="S29"/>
  <c r="T29"/>
  <c r="U29"/>
  <c r="AM29"/>
  <c r="P30"/>
  <c r="Q30"/>
  <c r="R30"/>
  <c r="S30"/>
  <c r="T30"/>
  <c r="U30"/>
  <c r="AM30"/>
  <c r="P31"/>
  <c r="Q31"/>
  <c r="R31"/>
  <c r="S31"/>
  <c r="T31"/>
  <c r="U31"/>
  <c r="AM31"/>
  <c r="P32"/>
  <c r="Q32"/>
  <c r="R32"/>
  <c r="S32"/>
  <c r="T32"/>
  <c r="U32"/>
  <c r="AM32"/>
  <c r="P33"/>
  <c r="Q33"/>
  <c r="R33"/>
  <c r="S33"/>
  <c r="T33"/>
  <c r="U33"/>
  <c r="AM33"/>
  <c r="P34"/>
  <c r="Q34"/>
  <c r="R34"/>
  <c r="S34"/>
  <c r="T34"/>
  <c r="U34"/>
  <c r="AM34"/>
  <c r="P35"/>
  <c r="Q35"/>
  <c r="R35"/>
  <c r="S35"/>
  <c r="T35"/>
  <c r="U35"/>
  <c r="AM35"/>
  <c r="P36"/>
  <c r="Q36"/>
  <c r="R36"/>
  <c r="S36"/>
  <c r="T36"/>
  <c r="U36"/>
  <c r="AM36"/>
  <c r="P37"/>
  <c r="Q37"/>
  <c r="R37"/>
  <c r="S37"/>
  <c r="T37"/>
  <c r="U37"/>
  <c r="AM37"/>
  <c r="P38"/>
  <c r="Q38"/>
  <c r="R38"/>
  <c r="S38"/>
  <c r="T38"/>
  <c r="U38"/>
  <c r="AM38"/>
  <c r="P39"/>
  <c r="Q39"/>
  <c r="R39"/>
  <c r="S39"/>
  <c r="T39"/>
  <c r="U39"/>
  <c r="AM39"/>
  <c r="P40"/>
  <c r="Q40"/>
  <c r="R40"/>
  <c r="S40"/>
  <c r="T40"/>
  <c r="U40"/>
  <c r="AM40"/>
  <c r="P41"/>
  <c r="Q41"/>
  <c r="R41"/>
  <c r="S41"/>
  <c r="T41"/>
  <c r="U41"/>
  <c r="AM41"/>
  <c r="P42"/>
  <c r="Q42"/>
  <c r="R42"/>
  <c r="S42"/>
  <c r="T42"/>
  <c r="U42"/>
  <c r="AM42"/>
  <c r="P43"/>
  <c r="Q43"/>
  <c r="R43"/>
  <c r="S43"/>
  <c r="T43"/>
  <c r="U43"/>
  <c r="AM43"/>
  <c r="P44"/>
  <c r="Q44"/>
  <c r="R44"/>
  <c r="S44"/>
  <c r="T44"/>
  <c r="U44"/>
  <c r="AM44"/>
  <c r="P45"/>
  <c r="Q45"/>
  <c r="R45"/>
  <c r="S45"/>
  <c r="T45"/>
  <c r="U45"/>
  <c r="AM45"/>
  <c r="P46"/>
  <c r="Q46"/>
  <c r="R46"/>
  <c r="S46"/>
  <c r="T46"/>
  <c r="U46"/>
  <c r="AM46"/>
  <c r="P47"/>
  <c r="Q47"/>
  <c r="R47"/>
  <c r="S47"/>
  <c r="T47"/>
  <c r="U47"/>
  <c r="AM47"/>
  <c r="P48"/>
  <c r="Q48"/>
  <c r="R48"/>
  <c r="S48"/>
  <c r="T48"/>
  <c r="U48"/>
  <c r="AM48"/>
  <c r="P49"/>
  <c r="Q49"/>
  <c r="R49"/>
  <c r="S49"/>
  <c r="T49"/>
  <c r="U49"/>
  <c r="AM49"/>
  <c r="P50"/>
  <c r="Q50"/>
  <c r="R50"/>
  <c r="S50"/>
  <c r="T50"/>
  <c r="U50"/>
  <c r="AM50"/>
  <c r="P51"/>
  <c r="Q51"/>
  <c r="R51"/>
  <c r="S51"/>
  <c r="T51"/>
  <c r="U51"/>
  <c r="AM51"/>
  <c r="P52"/>
  <c r="Q52"/>
  <c r="R52"/>
  <c r="S52"/>
  <c r="T52"/>
  <c r="U52"/>
  <c r="AM52"/>
  <c r="P53"/>
  <c r="Q53"/>
  <c r="R53"/>
  <c r="S53"/>
  <c r="T53"/>
  <c r="U53"/>
  <c r="AM53"/>
  <c r="P54"/>
  <c r="Q54"/>
  <c r="R54"/>
  <c r="S54"/>
  <c r="T54"/>
  <c r="U54"/>
  <c r="AM54"/>
  <c r="P55"/>
  <c r="Q55"/>
  <c r="R55"/>
  <c r="S55"/>
  <c r="T55"/>
  <c r="U55"/>
  <c r="AM55"/>
  <c r="P56"/>
  <c r="Q56"/>
  <c r="R56"/>
  <c r="S56"/>
  <c r="T56"/>
  <c r="U56"/>
  <c r="AM56"/>
  <c r="P57"/>
  <c r="Q57"/>
  <c r="R57"/>
  <c r="S57"/>
  <c r="T57"/>
  <c r="U57"/>
  <c r="AM57"/>
  <c r="P58"/>
  <c r="Q58"/>
  <c r="R58"/>
  <c r="S58"/>
  <c r="T58"/>
  <c r="U58"/>
  <c r="AM58"/>
  <c r="P59"/>
  <c r="Q59"/>
  <c r="R59"/>
  <c r="S59"/>
  <c r="T59"/>
  <c r="U59"/>
  <c r="AM59"/>
  <c r="P60"/>
  <c r="Q60"/>
  <c r="R60"/>
  <c r="S60"/>
  <c r="T60"/>
  <c r="U60"/>
  <c r="AM60"/>
  <c r="P61"/>
  <c r="Q61"/>
  <c r="R61"/>
  <c r="S61"/>
  <c r="T61"/>
  <c r="U61"/>
  <c r="AM61"/>
  <c r="P62"/>
  <c r="Q62"/>
  <c r="R62"/>
  <c r="S62"/>
  <c r="T62"/>
  <c r="U62"/>
  <c r="AM62"/>
  <c r="P63"/>
  <c r="Q63"/>
  <c r="R63"/>
  <c r="S63"/>
  <c r="T63"/>
  <c r="U63"/>
  <c r="AM63"/>
  <c r="P64"/>
  <c r="Q64"/>
  <c r="R64"/>
  <c r="S64"/>
  <c r="T64"/>
  <c r="U64"/>
  <c r="AM64"/>
  <c r="P65"/>
  <c r="Q65"/>
  <c r="R65"/>
  <c r="S65"/>
  <c r="T65"/>
  <c r="U65"/>
  <c r="AM65"/>
  <c r="P66"/>
  <c r="Q66"/>
  <c r="R66"/>
  <c r="S66"/>
  <c r="T66"/>
  <c r="U66"/>
  <c r="AM66"/>
  <c r="P67"/>
  <c r="Q67"/>
  <c r="R67"/>
  <c r="S67"/>
  <c r="T67"/>
  <c r="U67"/>
  <c r="AM67"/>
  <c r="P68"/>
  <c r="Q68"/>
  <c r="R68"/>
  <c r="S68"/>
  <c r="T68"/>
  <c r="U68"/>
  <c r="AM68"/>
  <c r="P69"/>
  <c r="Q69"/>
  <c r="R69"/>
  <c r="S69"/>
  <c r="T69"/>
  <c r="U69"/>
  <c r="AM69"/>
  <c r="P70"/>
  <c r="Q70"/>
  <c r="R70"/>
  <c r="S70"/>
  <c r="T70"/>
  <c r="U70"/>
  <c r="AM70"/>
  <c r="P71"/>
  <c r="Q71"/>
  <c r="R71"/>
  <c r="S71"/>
  <c r="T71"/>
  <c r="U71"/>
  <c r="AM71"/>
  <c r="P72"/>
  <c r="Q72"/>
  <c r="R72"/>
  <c r="S72"/>
  <c r="T72"/>
  <c r="U72"/>
  <c r="AM72"/>
  <c r="P73"/>
  <c r="Q73"/>
  <c r="R73"/>
  <c r="S73"/>
  <c r="T73"/>
  <c r="U73"/>
  <c r="AM73"/>
  <c r="P74"/>
  <c r="Q74"/>
  <c r="R74"/>
  <c r="S74"/>
  <c r="T74"/>
  <c r="U74"/>
  <c r="AM74"/>
  <c r="P75"/>
  <c r="Q75"/>
  <c r="R75"/>
  <c r="S75"/>
  <c r="T75"/>
  <c r="U75"/>
  <c r="AM75"/>
  <c r="P76"/>
  <c r="Q76"/>
  <c r="R76"/>
  <c r="S76"/>
  <c r="T76"/>
  <c r="U76"/>
  <c r="AM76"/>
  <c r="P77"/>
  <c r="Q77"/>
  <c r="R77"/>
  <c r="S77"/>
  <c r="T77"/>
  <c r="U77"/>
  <c r="AM77"/>
  <c r="P78"/>
  <c r="Q78"/>
  <c r="R78"/>
  <c r="S78"/>
  <c r="T78"/>
  <c r="U78"/>
  <c r="AM78"/>
  <c r="P79"/>
  <c r="Q79"/>
  <c r="R79"/>
  <c r="S79"/>
  <c r="T79"/>
  <c r="U79"/>
  <c r="AM79"/>
  <c r="P80"/>
  <c r="Q80"/>
  <c r="R80"/>
  <c r="S80"/>
  <c r="T80"/>
  <c r="U80"/>
  <c r="AM80"/>
  <c r="P81"/>
  <c r="Q81"/>
  <c r="R81"/>
  <c r="S81"/>
  <c r="T81"/>
  <c r="U81"/>
  <c r="AM81"/>
  <c r="P82"/>
  <c r="Q82"/>
  <c r="R82"/>
  <c r="S82"/>
  <c r="T82"/>
  <c r="U82"/>
  <c r="AM82"/>
  <c r="P83"/>
  <c r="Q83"/>
  <c r="R83"/>
  <c r="S83"/>
  <c r="T83"/>
  <c r="U83"/>
  <c r="AM83"/>
  <c r="P84"/>
  <c r="Q84"/>
  <c r="R84"/>
  <c r="S84"/>
  <c r="T84"/>
  <c r="U84"/>
  <c r="AM84"/>
  <c r="P85"/>
  <c r="Q85"/>
  <c r="R85"/>
  <c r="S85"/>
  <c r="T85"/>
  <c r="U85"/>
  <c r="AM85"/>
  <c r="P86"/>
  <c r="Q86"/>
  <c r="R86"/>
  <c r="S86"/>
  <c r="T86"/>
  <c r="U86"/>
  <c r="AM86"/>
  <c r="P87"/>
  <c r="Q87"/>
  <c r="R87"/>
  <c r="S87"/>
  <c r="T87"/>
  <c r="U87"/>
  <c r="AM87"/>
  <c r="P88"/>
  <c r="Q88"/>
  <c r="R88"/>
  <c r="S88"/>
  <c r="T88"/>
  <c r="U88"/>
  <c r="AM88"/>
  <c r="P89"/>
  <c r="Q89"/>
  <c r="R89"/>
  <c r="S89"/>
  <c r="T89"/>
  <c r="U89"/>
  <c r="AM89"/>
  <c r="P90"/>
  <c r="Q90"/>
  <c r="R90"/>
  <c r="S90"/>
  <c r="T90"/>
  <c r="U90"/>
  <c r="AM90"/>
  <c r="P91"/>
  <c r="Q91"/>
  <c r="R91"/>
  <c r="S91"/>
  <c r="T91"/>
  <c r="U91"/>
  <c r="AM91"/>
  <c r="P92"/>
  <c r="Q92"/>
  <c r="R92"/>
  <c r="S92"/>
  <c r="T92"/>
  <c r="U92"/>
  <c r="AM92"/>
  <c r="P93"/>
  <c r="Q93"/>
  <c r="R93"/>
  <c r="S93"/>
  <c r="T93"/>
  <c r="U93"/>
  <c r="AM93"/>
  <c r="P94"/>
  <c r="Q94"/>
  <c r="R94"/>
  <c r="S94"/>
  <c r="T94"/>
  <c r="U94"/>
  <c r="AM94"/>
  <c r="P95"/>
  <c r="Q95"/>
  <c r="R95"/>
  <c r="S95"/>
  <c r="T95"/>
  <c r="U95"/>
  <c r="AM95"/>
  <c r="P96"/>
  <c r="Q96"/>
  <c r="R96"/>
  <c r="S96"/>
  <c r="T96"/>
  <c r="U96"/>
  <c r="AM96"/>
  <c r="P97"/>
  <c r="Q97"/>
  <c r="R97"/>
  <c r="S97"/>
  <c r="T97"/>
  <c r="U97"/>
  <c r="AM97"/>
  <c r="P98"/>
  <c r="Q98"/>
  <c r="R98"/>
  <c r="S98"/>
  <c r="T98"/>
  <c r="U98"/>
  <c r="AM98"/>
  <c r="P99"/>
  <c r="Q99"/>
  <c r="R99"/>
  <c r="S99"/>
  <c r="T99"/>
  <c r="U99"/>
  <c r="AM99"/>
  <c r="P100"/>
  <c r="Q100"/>
  <c r="R100"/>
  <c r="S100"/>
  <c r="T100"/>
  <c r="U100"/>
  <c r="AM100"/>
  <c r="P101"/>
  <c r="Q101"/>
  <c r="R101"/>
  <c r="S101"/>
  <c r="T101"/>
  <c r="U101"/>
  <c r="AM101"/>
  <c r="P102"/>
  <c r="Q102"/>
  <c r="R102"/>
  <c r="S102"/>
  <c r="T102"/>
  <c r="U102"/>
  <c r="AM102"/>
  <c r="P103"/>
  <c r="Q103"/>
  <c r="R103"/>
  <c r="S103"/>
  <c r="T103"/>
  <c r="U103"/>
  <c r="AM103"/>
  <c r="P104"/>
  <c r="Q104"/>
  <c r="R104"/>
  <c r="S104"/>
  <c r="T104"/>
  <c r="U104"/>
  <c r="AM104"/>
  <c r="P105"/>
  <c r="Q105"/>
  <c r="R105"/>
  <c r="S105"/>
  <c r="T105"/>
  <c r="U105"/>
  <c r="AM105"/>
  <c r="P106"/>
  <c r="Q106"/>
  <c r="R106"/>
  <c r="S106"/>
  <c r="T106"/>
  <c r="U106"/>
  <c r="AM106"/>
  <c r="P107"/>
  <c r="Q107"/>
  <c r="R107"/>
  <c r="S107"/>
  <c r="T107"/>
  <c r="U107"/>
  <c r="AM107"/>
  <c r="P108"/>
  <c r="Q108"/>
  <c r="R108"/>
  <c r="S108"/>
  <c r="T108"/>
  <c r="U108"/>
  <c r="AM108"/>
  <c r="P109"/>
  <c r="Q109"/>
  <c r="R109"/>
  <c r="S109"/>
  <c r="T109"/>
  <c r="U109"/>
  <c r="AM109"/>
  <c r="P110"/>
  <c r="Q110"/>
  <c r="R110"/>
  <c r="S110"/>
  <c r="T110"/>
  <c r="U110"/>
  <c r="AM110"/>
  <c r="P111"/>
  <c r="Q111"/>
  <c r="R111"/>
  <c r="S111"/>
  <c r="T111"/>
  <c r="U111"/>
  <c r="AM111"/>
  <c r="AM2"/>
  <c r="U2"/>
  <c r="T2"/>
  <c r="S2"/>
  <c r="R2"/>
  <c r="Q2"/>
  <c r="P2"/>
  <c r="B9" i="10"/>
  <c r="C9"/>
  <c r="E9"/>
  <c r="B13"/>
  <c r="C13"/>
  <c r="E13"/>
  <c r="W3"/>
  <c r="W2"/>
  <c r="W1"/>
  <c r="B14"/>
  <c r="C14"/>
  <c r="E14"/>
  <c r="B15"/>
  <c r="C15"/>
  <c r="E15"/>
  <c r="A37"/>
  <c r="B6"/>
  <c r="C6"/>
  <c r="E6"/>
  <c r="F6"/>
  <c r="E37"/>
  <c r="D37"/>
  <c r="U59"/>
  <c r="X59"/>
  <c r="T59"/>
  <c r="V59"/>
  <c r="A36"/>
  <c r="E36"/>
  <c r="D36"/>
  <c r="U58"/>
  <c r="X58"/>
  <c r="T58"/>
  <c r="V58"/>
  <c r="A35"/>
  <c r="E35"/>
  <c r="D35"/>
  <c r="U57"/>
  <c r="X57"/>
  <c r="T57"/>
  <c r="V57"/>
  <c r="A34"/>
  <c r="E34"/>
  <c r="U56"/>
  <c r="A33"/>
  <c r="E33"/>
  <c r="U55"/>
  <c r="A32"/>
  <c r="E32"/>
  <c r="U54"/>
  <c r="B50"/>
  <c r="A49"/>
  <c r="J49"/>
  <c r="I49"/>
  <c r="H49"/>
  <c r="F49"/>
  <c r="E49"/>
  <c r="D49"/>
  <c r="C49"/>
  <c r="B49"/>
  <c r="A48"/>
  <c r="J48"/>
  <c r="I48"/>
  <c r="H48"/>
  <c r="F48"/>
  <c r="E48"/>
  <c r="D48"/>
  <c r="C48"/>
  <c r="B48"/>
  <c r="A47"/>
  <c r="J47"/>
  <c r="I47"/>
  <c r="H47"/>
  <c r="F47"/>
  <c r="E47"/>
  <c r="D47"/>
  <c r="C47"/>
  <c r="B47"/>
  <c r="A46"/>
  <c r="J46"/>
  <c r="I46"/>
  <c r="H46"/>
  <c r="F46"/>
  <c r="E46"/>
  <c r="D46"/>
  <c r="C46"/>
  <c r="B46"/>
  <c r="A45"/>
  <c r="J45"/>
  <c r="I45"/>
  <c r="H45"/>
  <c r="F45"/>
  <c r="E45"/>
  <c r="D45"/>
  <c r="C45"/>
  <c r="B45"/>
  <c r="A44"/>
  <c r="J44"/>
  <c r="I44"/>
  <c r="H44"/>
  <c r="F44"/>
  <c r="E44"/>
  <c r="D44"/>
  <c r="C44"/>
  <c r="B44"/>
  <c r="A41"/>
  <c r="Y41"/>
  <c r="AE41"/>
  <c r="AG41"/>
  <c r="AC41"/>
  <c r="AF41"/>
  <c r="AD41"/>
  <c r="AB41"/>
  <c r="AA41"/>
  <c r="Z41"/>
  <c r="W41"/>
  <c r="V41"/>
  <c r="U41"/>
  <c r="T41"/>
  <c r="S41"/>
  <c r="R41"/>
  <c r="C41"/>
  <c r="N41"/>
  <c r="M41"/>
  <c r="L41"/>
  <c r="K41"/>
  <c r="J41"/>
  <c r="I41"/>
  <c r="H41"/>
  <c r="F41"/>
  <c r="E41"/>
  <c r="D41"/>
  <c r="B41"/>
  <c r="A40"/>
  <c r="Y40"/>
  <c r="AE40"/>
  <c r="AG40"/>
  <c r="AC40"/>
  <c r="AF40"/>
  <c r="AD40"/>
  <c r="AB40"/>
  <c r="AA40"/>
  <c r="Z40"/>
  <c r="W40"/>
  <c r="V40"/>
  <c r="U40"/>
  <c r="T40"/>
  <c r="S40"/>
  <c r="R40"/>
  <c r="C40"/>
  <c r="N40"/>
  <c r="M40"/>
  <c r="L40"/>
  <c r="K40"/>
  <c r="J40"/>
  <c r="I40"/>
  <c r="H40"/>
  <c r="F40"/>
  <c r="E40"/>
  <c r="D40"/>
  <c r="B40"/>
  <c r="H37"/>
  <c r="K37"/>
  <c r="L37"/>
  <c r="F15"/>
  <c r="S30"/>
  <c r="M37"/>
  <c r="U37"/>
  <c r="T37"/>
  <c r="N37"/>
  <c r="F37"/>
  <c r="C37"/>
  <c r="H36"/>
  <c r="K36"/>
  <c r="L36"/>
  <c r="M36"/>
  <c r="U36"/>
  <c r="T36"/>
  <c r="N36"/>
  <c r="F36"/>
  <c r="C36"/>
  <c r="H35"/>
  <c r="K35"/>
  <c r="L35"/>
  <c r="M35"/>
  <c r="U35"/>
  <c r="T35"/>
  <c r="N35"/>
  <c r="F35"/>
  <c r="C35"/>
  <c r="H34"/>
  <c r="K34"/>
  <c r="L34"/>
  <c r="M34"/>
  <c r="U34"/>
  <c r="T34"/>
  <c r="N34"/>
  <c r="H33"/>
  <c r="K33"/>
  <c r="L33"/>
  <c r="B12"/>
  <c r="C12"/>
  <c r="E12"/>
  <c r="F12"/>
  <c r="S28"/>
  <c r="M33"/>
  <c r="U33"/>
  <c r="T33"/>
  <c r="F13"/>
  <c r="S33"/>
  <c r="N33"/>
  <c r="H32"/>
  <c r="K32"/>
  <c r="L32"/>
  <c r="M32"/>
  <c r="U32"/>
  <c r="T32"/>
  <c r="F9"/>
  <c r="S32"/>
  <c r="N32"/>
  <c r="H31"/>
  <c r="K31"/>
  <c r="L31"/>
  <c r="M31"/>
  <c r="U31"/>
  <c r="T31"/>
  <c r="S31"/>
  <c r="N31"/>
  <c r="K30"/>
  <c r="L30"/>
  <c r="B8"/>
  <c r="C8"/>
  <c r="E8"/>
  <c r="F8"/>
  <c r="S24"/>
  <c r="M30"/>
  <c r="U30"/>
  <c r="T30"/>
  <c r="N30"/>
  <c r="H29"/>
  <c r="V29"/>
  <c r="K29"/>
  <c r="L29"/>
  <c r="M29"/>
  <c r="U29"/>
  <c r="T29"/>
  <c r="F14"/>
  <c r="S29"/>
  <c r="N29"/>
  <c r="H28"/>
  <c r="V28"/>
  <c r="K28"/>
  <c r="L28"/>
  <c r="M28"/>
  <c r="U28"/>
  <c r="T28"/>
  <c r="N28"/>
  <c r="B28"/>
  <c r="A28"/>
  <c r="F28"/>
  <c r="E28"/>
  <c r="D28"/>
  <c r="C28"/>
  <c r="H27"/>
  <c r="V27"/>
  <c r="K27"/>
  <c r="L27"/>
  <c r="M27"/>
  <c r="U27"/>
  <c r="T27"/>
  <c r="B18"/>
  <c r="B19"/>
  <c r="C18"/>
  <c r="E18"/>
  <c r="E19"/>
  <c r="F19"/>
  <c r="S27"/>
  <c r="N27"/>
  <c r="A27"/>
  <c r="F27"/>
  <c r="H26"/>
  <c r="V26"/>
  <c r="K26"/>
  <c r="L26"/>
  <c r="M26"/>
  <c r="U26"/>
  <c r="T26"/>
  <c r="B7"/>
  <c r="C7"/>
  <c r="E7"/>
  <c r="F7"/>
  <c r="S26"/>
  <c r="N26"/>
  <c r="A26"/>
  <c r="F26"/>
  <c r="H25"/>
  <c r="V25"/>
  <c r="K25"/>
  <c r="L25"/>
  <c r="M25"/>
  <c r="U25"/>
  <c r="T25"/>
  <c r="F18"/>
  <c r="S25"/>
  <c r="N25"/>
  <c r="A25"/>
  <c r="F25"/>
  <c r="H24"/>
  <c r="V24"/>
  <c r="K24"/>
  <c r="L24"/>
  <c r="M24"/>
  <c r="U24"/>
  <c r="T24"/>
  <c r="N24"/>
  <c r="A24"/>
  <c r="F24"/>
  <c r="K1"/>
  <c r="Y1"/>
  <c r="Z1"/>
  <c r="Z3"/>
  <c r="Y2"/>
  <c r="Z2"/>
  <c r="M13"/>
  <c r="L22"/>
  <c r="L21"/>
  <c r="L20"/>
  <c r="L19"/>
  <c r="C19"/>
  <c r="E2"/>
  <c r="AL1"/>
  <c r="T2"/>
  <c r="AL2"/>
  <c r="AL3"/>
  <c r="AL5"/>
  <c r="AL6"/>
  <c r="AL7"/>
  <c r="AL8"/>
  <c r="N1"/>
  <c r="M6"/>
  <c r="AL9"/>
  <c r="M8"/>
  <c r="AL10"/>
  <c r="M9"/>
  <c r="AL11"/>
  <c r="AL12"/>
  <c r="AL13"/>
  <c r="AL15"/>
  <c r="L18"/>
  <c r="L17"/>
  <c r="L16"/>
  <c r="R13"/>
  <c r="U11"/>
  <c r="W11"/>
  <c r="Y11"/>
  <c r="R11"/>
  <c r="S11"/>
  <c r="M11"/>
  <c r="H11"/>
  <c r="I11"/>
  <c r="J11"/>
  <c r="U10"/>
  <c r="W10"/>
  <c r="Y10"/>
  <c r="R10"/>
  <c r="S10"/>
  <c r="M10"/>
  <c r="I10"/>
  <c r="J10"/>
  <c r="U9"/>
  <c r="W9"/>
  <c r="Y9"/>
  <c r="R9"/>
  <c r="S9"/>
  <c r="N9"/>
  <c r="I9"/>
  <c r="J9"/>
  <c r="U8"/>
  <c r="W8"/>
  <c r="Y8"/>
  <c r="R8"/>
  <c r="S8"/>
  <c r="N8"/>
  <c r="I8"/>
  <c r="J8"/>
  <c r="U7"/>
  <c r="W7"/>
  <c r="Y7"/>
  <c r="R7"/>
  <c r="S7"/>
  <c r="I7"/>
  <c r="J7"/>
  <c r="U6"/>
  <c r="W6"/>
  <c r="Y6"/>
  <c r="R6"/>
  <c r="S6"/>
  <c r="N6"/>
  <c r="I6"/>
  <c r="J6"/>
  <c r="M4"/>
  <c r="L4"/>
  <c r="K4"/>
  <c r="J4"/>
  <c r="I4"/>
  <c r="H4"/>
  <c r="E3"/>
  <c r="B3"/>
  <c r="S2"/>
  <c r="B2"/>
  <c r="H1"/>
  <c r="D34"/>
  <c r="X56"/>
  <c r="T56"/>
  <c r="V56"/>
  <c r="F34"/>
  <c r="C34"/>
  <c r="D33"/>
  <c r="X55"/>
  <c r="T55"/>
  <c r="V55"/>
  <c r="F33"/>
  <c r="C33"/>
  <c r="D24"/>
  <c r="E24"/>
  <c r="C24"/>
  <c r="AL14"/>
  <c r="E27"/>
  <c r="D27"/>
  <c r="C27"/>
  <c r="E26"/>
  <c r="D26"/>
  <c r="C26"/>
  <c r="E25"/>
  <c r="D25"/>
  <c r="C25"/>
  <c r="D32"/>
  <c r="AL4"/>
  <c r="AL16"/>
  <c r="AL17"/>
  <c r="AL18"/>
  <c r="E1"/>
  <c r="X54"/>
  <c r="T54"/>
  <c r="V54"/>
  <c r="F32"/>
  <c r="C32"/>
  <c r="M31" i="17"/>
  <c r="M30"/>
  <c r="M29"/>
  <c r="M28"/>
  <c r="M27"/>
  <c r="M26"/>
  <c r="M25"/>
  <c r="M24"/>
  <c r="M23"/>
  <c r="M22"/>
  <c r="M21"/>
  <c r="M20"/>
  <c r="M19"/>
  <c r="M18"/>
  <c r="M17"/>
  <c r="M16"/>
  <c r="M15"/>
  <c r="M14"/>
  <c r="M13"/>
  <c r="M12"/>
  <c r="M11"/>
  <c r="M10"/>
  <c r="M9"/>
  <c r="M8"/>
  <c r="M3"/>
  <c r="M2"/>
  <c r="N31"/>
  <c r="E31"/>
  <c r="N30"/>
  <c r="E30"/>
  <c r="N29"/>
  <c r="E29"/>
  <c r="N28"/>
  <c r="E28"/>
  <c r="N27"/>
  <c r="E27"/>
  <c r="N26"/>
  <c r="E26"/>
  <c r="N25"/>
  <c r="E25"/>
  <c r="N24"/>
  <c r="E24"/>
  <c r="N23"/>
  <c r="E23"/>
  <c r="N22"/>
  <c r="E22"/>
  <c r="N21"/>
  <c r="E21"/>
  <c r="N20"/>
  <c r="E20"/>
  <c r="N19"/>
  <c r="E19"/>
  <c r="N18"/>
  <c r="E18"/>
  <c r="N17"/>
  <c r="E17"/>
  <c r="N16"/>
  <c r="E16"/>
  <c r="N15"/>
  <c r="E15"/>
  <c r="N14"/>
  <c r="E14"/>
  <c r="N13"/>
  <c r="E13"/>
  <c r="N12"/>
  <c r="E12"/>
  <c r="N11"/>
  <c r="E11"/>
  <c r="N10"/>
  <c r="E10"/>
  <c r="N9"/>
  <c r="E9"/>
  <c r="N8"/>
  <c r="N3"/>
  <c r="E3"/>
  <c r="N2"/>
  <c r="E2"/>
  <c r="I19" i="8"/>
  <c r="B19"/>
  <c r="C19"/>
  <c r="I20"/>
  <c r="B20"/>
  <c r="C20"/>
  <c r="I2"/>
  <c r="I3"/>
  <c r="C3"/>
  <c r="I4"/>
  <c r="C4"/>
  <c r="I5"/>
  <c r="C5"/>
  <c r="I6"/>
  <c r="C6"/>
  <c r="I7"/>
  <c r="C7"/>
  <c r="I8"/>
  <c r="C8"/>
  <c r="I9"/>
  <c r="C9"/>
  <c r="I10"/>
  <c r="C10"/>
  <c r="I11"/>
  <c r="C11"/>
  <c r="I12"/>
  <c r="C12"/>
  <c r="I13"/>
  <c r="C13"/>
  <c r="I14"/>
  <c r="C14"/>
  <c r="I15"/>
  <c r="C15"/>
  <c r="I16"/>
  <c r="C16"/>
  <c r="I17"/>
  <c r="C17"/>
  <c r="I18"/>
  <c r="C18"/>
  <c r="I21"/>
  <c r="C21"/>
  <c r="I22"/>
  <c r="C22"/>
  <c r="I23"/>
  <c r="C23"/>
  <c r="I24"/>
  <c r="C24"/>
  <c r="I25"/>
  <c r="C25"/>
  <c r="I26"/>
  <c r="C26"/>
  <c r="C2"/>
  <c r="B6"/>
  <c r="B13"/>
  <c r="B10"/>
  <c r="B15"/>
  <c r="B25"/>
  <c r="B22"/>
  <c r="B24"/>
  <c r="B18"/>
  <c r="B3"/>
  <c r="B4"/>
  <c r="B5"/>
  <c r="B7"/>
  <c r="B8"/>
  <c r="B9"/>
  <c r="B11"/>
  <c r="B12"/>
  <c r="B14"/>
  <c r="B16"/>
  <c r="B17"/>
  <c r="B21"/>
  <c r="B23"/>
  <c r="B26"/>
  <c r="B2"/>
  <c r="U3" i="15"/>
  <c r="Q3"/>
  <c r="B59"/>
  <c r="B53"/>
  <c r="B54"/>
  <c r="B55"/>
  <c r="B57"/>
  <c r="B58"/>
  <c r="B60"/>
  <c r="B52"/>
  <c r="AA2"/>
  <c r="AB14"/>
  <c r="AB7"/>
  <c r="AD7"/>
  <c r="AB8"/>
  <c r="AD8"/>
  <c r="AB9"/>
  <c r="AD9"/>
  <c r="AC16"/>
  <c r="AE9"/>
  <c r="AE8"/>
  <c r="AE7"/>
  <c r="U47"/>
  <c r="AB16"/>
  <c r="AB15"/>
  <c r="AC14"/>
  <c r="AB5"/>
  <c r="Q47"/>
  <c r="AB13"/>
  <c r="AB12"/>
  <c r="AB11"/>
  <c r="AB10"/>
  <c r="AB6"/>
  <c r="AL5"/>
  <c r="AL6"/>
  <c r="AL7"/>
  <c r="AL8"/>
  <c r="AL9"/>
  <c r="AL10"/>
  <c r="AL11"/>
  <c r="AL12"/>
  <c r="AL13"/>
  <c r="AL14"/>
  <c r="AL15"/>
  <c r="AL16"/>
  <c r="AL17"/>
  <c r="AL18"/>
  <c r="AL19"/>
  <c r="AL20"/>
  <c r="AL21"/>
  <c r="AL22"/>
  <c r="AE5"/>
  <c r="AE6"/>
  <c r="AE10"/>
  <c r="AE11"/>
  <c r="AE12"/>
  <c r="AE13"/>
  <c r="AV1"/>
  <c r="AE14"/>
  <c r="AE15"/>
  <c r="AE16"/>
  <c r="AE17"/>
  <c r="AB21"/>
  <c r="AD5"/>
  <c r="AD6"/>
  <c r="AD10"/>
  <c r="AD11"/>
  <c r="AD12"/>
  <c r="AD13"/>
  <c r="AD14"/>
  <c r="AD15"/>
  <c r="AD16"/>
  <c r="AD17"/>
  <c r="AB20"/>
  <c r="AB19"/>
  <c r="U9"/>
  <c r="U37"/>
  <c r="U4"/>
  <c r="U6"/>
  <c r="U13"/>
  <c r="U16"/>
  <c r="U34"/>
  <c r="U31"/>
  <c r="U46"/>
  <c r="U25"/>
  <c r="U43"/>
  <c r="U45"/>
  <c r="U11"/>
  <c r="U29"/>
  <c r="U20"/>
  <c r="U38"/>
  <c r="U7"/>
  <c r="U5"/>
  <c r="U40"/>
  <c r="U44"/>
  <c r="U19"/>
  <c r="U22"/>
  <c r="U28"/>
  <c r="U18"/>
  <c r="U42"/>
  <c r="U41"/>
  <c r="U15"/>
  <c r="U23"/>
  <c r="U24"/>
  <c r="U36"/>
  <c r="U14"/>
  <c r="U17"/>
  <c r="Q9"/>
  <c r="Q37"/>
  <c r="Q4"/>
  <c r="Q6"/>
  <c r="Q13"/>
  <c r="Q16"/>
  <c r="Q34"/>
  <c r="Q31"/>
  <c r="Q33"/>
  <c r="Q46"/>
  <c r="Q25"/>
  <c r="Q32"/>
  <c r="Q43"/>
  <c r="Q45"/>
  <c r="Q11"/>
  <c r="Q29"/>
  <c r="Q20"/>
  <c r="Q35"/>
  <c r="Q10"/>
  <c r="Q12"/>
  <c r="Q38"/>
  <c r="Q7"/>
  <c r="Q5"/>
  <c r="Q40"/>
  <c r="Q8"/>
  <c r="Q39"/>
  <c r="Q26"/>
  <c r="Q44"/>
  <c r="Q21"/>
  <c r="Q27"/>
  <c r="Q30"/>
  <c r="Q19"/>
  <c r="Q22"/>
  <c r="Q28"/>
  <c r="Q18"/>
  <c r="Q42"/>
  <c r="Q41"/>
  <c r="Q15"/>
  <c r="Q23"/>
  <c r="Q24"/>
  <c r="Q36"/>
  <c r="Q14"/>
  <c r="Q17"/>
  <c r="W3" i="12"/>
  <c r="X3"/>
  <c r="W4"/>
  <c r="X4"/>
  <c r="W5"/>
  <c r="X5"/>
  <c r="W6"/>
  <c r="X6"/>
  <c r="W7"/>
  <c r="X7"/>
  <c r="W8"/>
  <c r="X8"/>
  <c r="W9"/>
  <c r="X9"/>
  <c r="W10"/>
  <c r="X10"/>
  <c r="W11"/>
  <c r="X11"/>
  <c r="W12"/>
  <c r="X12"/>
  <c r="W13"/>
  <c r="X13"/>
  <c r="W14"/>
  <c r="X14"/>
  <c r="W15"/>
  <c r="X15"/>
  <c r="W16"/>
  <c r="X16"/>
  <c r="W17"/>
  <c r="X17"/>
  <c r="W18"/>
  <c r="X18"/>
  <c r="W19"/>
  <c r="X19"/>
  <c r="W20"/>
  <c r="X20"/>
  <c r="W21"/>
  <c r="X21"/>
  <c r="W22"/>
  <c r="X22"/>
  <c r="W23"/>
  <c r="X23"/>
  <c r="W24"/>
  <c r="X24"/>
  <c r="W25"/>
  <c r="X25"/>
  <c r="W26"/>
  <c r="X26"/>
  <c r="W27"/>
  <c r="X27"/>
  <c r="W28"/>
  <c r="X28"/>
  <c r="W29"/>
  <c r="X29"/>
  <c r="W30"/>
  <c r="X30"/>
  <c r="W31"/>
  <c r="X31"/>
  <c r="W32"/>
  <c r="X32"/>
  <c r="W33"/>
  <c r="X33"/>
  <c r="W34"/>
  <c r="X34"/>
  <c r="W35"/>
  <c r="X35"/>
  <c r="W36"/>
  <c r="X36"/>
  <c r="W37"/>
  <c r="X37"/>
  <c r="W38"/>
  <c r="X38"/>
  <c r="W39"/>
  <c r="X39"/>
  <c r="W40"/>
  <c r="X40"/>
  <c r="W41"/>
  <c r="X41"/>
  <c r="W42"/>
  <c r="X42"/>
  <c r="W43"/>
  <c r="X43"/>
  <c r="W44"/>
  <c r="X44"/>
  <c r="W45"/>
  <c r="X45"/>
  <c r="W46"/>
  <c r="X46"/>
  <c r="W47"/>
  <c r="X47"/>
  <c r="W48"/>
  <c r="X48"/>
  <c r="W49"/>
  <c r="X49"/>
  <c r="W50"/>
  <c r="X50"/>
  <c r="W51"/>
  <c r="X51"/>
  <c r="W52"/>
  <c r="X52"/>
  <c r="W53"/>
  <c r="X53"/>
  <c r="W54"/>
  <c r="X54"/>
  <c r="W55"/>
  <c r="X55"/>
  <c r="W56"/>
  <c r="X56"/>
  <c r="W57"/>
  <c r="X57"/>
  <c r="W58"/>
  <c r="X58"/>
  <c r="W59"/>
  <c r="X59"/>
  <c r="W60"/>
  <c r="X60"/>
  <c r="W61"/>
  <c r="X61"/>
  <c r="W62"/>
  <c r="X62"/>
  <c r="W63"/>
  <c r="X63"/>
  <c r="W64"/>
  <c r="X64"/>
  <c r="W65"/>
  <c r="X65"/>
  <c r="W66"/>
  <c r="X66"/>
  <c r="W67"/>
  <c r="X67"/>
  <c r="W68"/>
  <c r="X68"/>
  <c r="W69"/>
  <c r="X69"/>
  <c r="W70"/>
  <c r="X70"/>
  <c r="W71"/>
  <c r="X71"/>
  <c r="W72"/>
  <c r="X72"/>
  <c r="W73"/>
  <c r="X73"/>
  <c r="W74"/>
  <c r="X74"/>
  <c r="W75"/>
  <c r="X75"/>
  <c r="W76"/>
  <c r="X76"/>
  <c r="W77"/>
  <c r="X77"/>
  <c r="W78"/>
  <c r="X78"/>
  <c r="W79"/>
  <c r="X79"/>
  <c r="W80"/>
  <c r="X80"/>
  <c r="W81"/>
  <c r="X81"/>
  <c r="W82"/>
  <c r="X82"/>
  <c r="W83"/>
  <c r="X83"/>
  <c r="W84"/>
  <c r="X84"/>
  <c r="W85"/>
  <c r="X85"/>
  <c r="W86"/>
  <c r="X86"/>
  <c r="W87"/>
  <c r="X87"/>
  <c r="W88"/>
  <c r="X88"/>
  <c r="W89"/>
  <c r="X89"/>
  <c r="W90"/>
  <c r="X90"/>
  <c r="W91"/>
  <c r="X91"/>
  <c r="W92"/>
  <c r="X92"/>
  <c r="W93"/>
  <c r="X93"/>
  <c r="W94"/>
  <c r="X94"/>
  <c r="W95"/>
  <c r="X95"/>
  <c r="W96"/>
  <c r="X96"/>
  <c r="W97"/>
  <c r="X97"/>
  <c r="W98"/>
  <c r="X98"/>
  <c r="W99"/>
  <c r="X99"/>
  <c r="W100"/>
  <c r="X100"/>
  <c r="W101"/>
  <c r="X101"/>
  <c r="W102"/>
  <c r="X102"/>
  <c r="W103"/>
  <c r="X103"/>
  <c r="W104"/>
  <c r="X104"/>
  <c r="W105"/>
  <c r="X105"/>
  <c r="W106"/>
  <c r="X106"/>
  <c r="W107"/>
  <c r="X107"/>
  <c r="W108"/>
  <c r="X108"/>
  <c r="W109"/>
  <c r="X109"/>
  <c r="W110"/>
  <c r="X110"/>
  <c r="W111"/>
  <c r="X111"/>
  <c r="W112"/>
  <c r="X112"/>
  <c r="W113"/>
  <c r="X113"/>
  <c r="W114"/>
  <c r="X114"/>
  <c r="W115"/>
  <c r="X115"/>
  <c r="W116"/>
  <c r="X116"/>
  <c r="W117"/>
  <c r="X117"/>
  <c r="W118"/>
  <c r="X118"/>
  <c r="W119"/>
  <c r="X119"/>
  <c r="W120"/>
  <c r="X120"/>
  <c r="W121"/>
  <c r="X121"/>
  <c r="W122"/>
  <c r="X122"/>
  <c r="W123"/>
  <c r="X123"/>
  <c r="W124"/>
  <c r="X124"/>
  <c r="W125"/>
  <c r="X125"/>
  <c r="W126"/>
  <c r="X126"/>
  <c r="W127"/>
  <c r="X127"/>
  <c r="W128"/>
  <c r="X128"/>
  <c r="W129"/>
  <c r="X129"/>
  <c r="W130"/>
  <c r="X130"/>
  <c r="W131"/>
  <c r="X131"/>
  <c r="W132"/>
  <c r="X132"/>
  <c r="W133"/>
  <c r="X133"/>
  <c r="W134"/>
  <c r="X134"/>
  <c r="W135"/>
  <c r="X135"/>
  <c r="W136"/>
  <c r="X136"/>
  <c r="W137"/>
  <c r="X137"/>
  <c r="W138"/>
  <c r="X138"/>
  <c r="W139"/>
  <c r="X139"/>
  <c r="W140"/>
  <c r="X140"/>
  <c r="W141"/>
  <c r="X141"/>
  <c r="W142"/>
  <c r="X142"/>
  <c r="W143"/>
  <c r="X143"/>
  <c r="W144"/>
  <c r="X144"/>
  <c r="W145"/>
  <c r="X145"/>
  <c r="W146"/>
  <c r="X146"/>
  <c r="W147"/>
  <c r="X147"/>
  <c r="W148"/>
  <c r="X148"/>
  <c r="W149"/>
  <c r="X149"/>
  <c r="W150"/>
  <c r="X150"/>
  <c r="W151"/>
  <c r="X151"/>
  <c r="W152"/>
  <c r="X152"/>
  <c r="W153"/>
  <c r="X153"/>
  <c r="W154"/>
  <c r="X154"/>
  <c r="W155"/>
  <c r="X155"/>
  <c r="W156"/>
  <c r="X156"/>
  <c r="W157"/>
  <c r="X157"/>
  <c r="W158"/>
  <c r="X158"/>
  <c r="W159"/>
  <c r="X159"/>
  <c r="W160"/>
  <c r="X160"/>
  <c r="W161"/>
  <c r="X161"/>
  <c r="W162"/>
  <c r="X162"/>
  <c r="W163"/>
  <c r="X163"/>
  <c r="W164"/>
  <c r="X164"/>
  <c r="W165"/>
  <c r="X165"/>
  <c r="W166"/>
  <c r="X166"/>
  <c r="W167"/>
  <c r="X167"/>
  <c r="W168"/>
  <c r="X168"/>
  <c r="W169"/>
  <c r="X169"/>
  <c r="W170"/>
  <c r="X170"/>
  <c r="W171"/>
  <c r="X171"/>
  <c r="W172"/>
  <c r="X172"/>
  <c r="W173"/>
  <c r="X173"/>
  <c r="W174"/>
  <c r="X174"/>
  <c r="W175"/>
  <c r="X175"/>
  <c r="W176"/>
  <c r="X176"/>
  <c r="W177"/>
  <c r="X177"/>
  <c r="W178"/>
  <c r="X178"/>
  <c r="W179"/>
  <c r="X179"/>
  <c r="W180"/>
  <c r="X180"/>
  <c r="W181"/>
  <c r="X181"/>
  <c r="W182"/>
  <c r="X182"/>
  <c r="W183"/>
  <c r="X183"/>
  <c r="W184"/>
  <c r="X184"/>
  <c r="W185"/>
  <c r="X185"/>
  <c r="W186"/>
  <c r="X186"/>
  <c r="W187"/>
  <c r="X187"/>
  <c r="W188"/>
  <c r="X188"/>
  <c r="W189"/>
  <c r="X189"/>
  <c r="W190"/>
  <c r="X190"/>
  <c r="W191"/>
  <c r="X191"/>
  <c r="W192"/>
  <c r="X192"/>
  <c r="W193"/>
  <c r="X193"/>
  <c r="W194"/>
  <c r="X194"/>
  <c r="W195"/>
  <c r="X195"/>
  <c r="W196"/>
  <c r="X196"/>
  <c r="W197"/>
  <c r="X197"/>
  <c r="W198"/>
  <c r="X198"/>
  <c r="W199"/>
  <c r="X199"/>
  <c r="W200"/>
  <c r="X200"/>
  <c r="W201"/>
  <c r="X201"/>
  <c r="W202"/>
  <c r="X202"/>
  <c r="W203"/>
  <c r="X203"/>
  <c r="W204"/>
  <c r="X204"/>
  <c r="W205"/>
  <c r="X205"/>
  <c r="W206"/>
  <c r="X206"/>
  <c r="W207"/>
  <c r="X207"/>
  <c r="W208"/>
  <c r="X208"/>
  <c r="W209"/>
  <c r="X209"/>
  <c r="W210"/>
  <c r="X210"/>
  <c r="W211"/>
  <c r="X211"/>
  <c r="W212"/>
  <c r="X212"/>
  <c r="W213"/>
  <c r="X213"/>
  <c r="W214"/>
  <c r="X214"/>
  <c r="W215"/>
  <c r="X215"/>
  <c r="W216"/>
  <c r="X216"/>
  <c r="W217"/>
  <c r="X217"/>
  <c r="W218"/>
  <c r="X218"/>
  <c r="W219"/>
  <c r="X219"/>
  <c r="W220"/>
  <c r="X220"/>
  <c r="W221"/>
  <c r="X221"/>
  <c r="W222"/>
  <c r="X222"/>
  <c r="W223"/>
  <c r="X223"/>
  <c r="W224"/>
  <c r="X224"/>
  <c r="W225"/>
  <c r="X225"/>
  <c r="W226"/>
  <c r="X226"/>
  <c r="W227"/>
  <c r="X227"/>
  <c r="W228"/>
  <c r="X228"/>
  <c r="W229"/>
  <c r="X229"/>
  <c r="W230"/>
  <c r="X230"/>
  <c r="W231"/>
  <c r="X231"/>
  <c r="W232"/>
  <c r="X232"/>
  <c r="W233"/>
  <c r="X233"/>
  <c r="W234"/>
  <c r="X234"/>
  <c r="W235"/>
  <c r="X235"/>
  <c r="X2"/>
  <c r="W2"/>
  <c r="O3"/>
  <c r="P3"/>
  <c r="Q3"/>
  <c r="R3"/>
  <c r="S3"/>
  <c r="T3"/>
  <c r="U3"/>
  <c r="V3"/>
  <c r="O4"/>
  <c r="P4"/>
  <c r="Q4"/>
  <c r="R4"/>
  <c r="S4"/>
  <c r="T4"/>
  <c r="U4"/>
  <c r="V4"/>
  <c r="O5"/>
  <c r="P5"/>
  <c r="Q5"/>
  <c r="R5"/>
  <c r="S5"/>
  <c r="T5"/>
  <c r="U5"/>
  <c r="V5"/>
  <c r="O6"/>
  <c r="P6"/>
  <c r="Q6"/>
  <c r="R6"/>
  <c r="S6"/>
  <c r="T6"/>
  <c r="U6"/>
  <c r="V6"/>
  <c r="O7"/>
  <c r="P7"/>
  <c r="Q7"/>
  <c r="R7"/>
  <c r="S7"/>
  <c r="T7"/>
  <c r="U7"/>
  <c r="V7"/>
  <c r="O8"/>
  <c r="P8"/>
  <c r="Q8"/>
  <c r="R8"/>
  <c r="S8"/>
  <c r="T8"/>
  <c r="U8"/>
  <c r="V8"/>
  <c r="O9"/>
  <c r="P9"/>
  <c r="Q9"/>
  <c r="R9"/>
  <c r="S9"/>
  <c r="T9"/>
  <c r="U9"/>
  <c r="V9"/>
  <c r="O10"/>
  <c r="P10"/>
  <c r="Q10"/>
  <c r="R10"/>
  <c r="S10"/>
  <c r="T10"/>
  <c r="U10"/>
  <c r="V10"/>
  <c r="O11"/>
  <c r="P11"/>
  <c r="Q11"/>
  <c r="R11"/>
  <c r="S11"/>
  <c r="T11"/>
  <c r="U11"/>
  <c r="V11"/>
  <c r="O12"/>
  <c r="P12"/>
  <c r="Q12"/>
  <c r="R12"/>
  <c r="S12"/>
  <c r="T12"/>
  <c r="U12"/>
  <c r="V12"/>
  <c r="O13"/>
  <c r="P13"/>
  <c r="Q13"/>
  <c r="R13"/>
  <c r="S13"/>
  <c r="T13"/>
  <c r="U13"/>
  <c r="V13"/>
  <c r="O14"/>
  <c r="P14"/>
  <c r="Q14"/>
  <c r="R14"/>
  <c r="S14"/>
  <c r="T14"/>
  <c r="U14"/>
  <c r="V14"/>
  <c r="O15"/>
  <c r="P15"/>
  <c r="Q15"/>
  <c r="R15"/>
  <c r="S15"/>
  <c r="T15"/>
  <c r="U15"/>
  <c r="V15"/>
  <c r="O16"/>
  <c r="P16"/>
  <c r="Q16"/>
  <c r="R16"/>
  <c r="S16"/>
  <c r="T16"/>
  <c r="U16"/>
  <c r="V16"/>
  <c r="O17"/>
  <c r="P17"/>
  <c r="Q17"/>
  <c r="R17"/>
  <c r="S17"/>
  <c r="T17"/>
  <c r="U17"/>
  <c r="V17"/>
  <c r="O18"/>
  <c r="P18"/>
  <c r="Q18"/>
  <c r="R18"/>
  <c r="S18"/>
  <c r="T18"/>
  <c r="U18"/>
  <c r="V18"/>
  <c r="O19"/>
  <c r="P19"/>
  <c r="Q19"/>
  <c r="R19"/>
  <c r="S19"/>
  <c r="T19"/>
  <c r="U19"/>
  <c r="V19"/>
  <c r="O20"/>
  <c r="P20"/>
  <c r="Q20"/>
  <c r="R20"/>
  <c r="S20"/>
  <c r="T20"/>
  <c r="U20"/>
  <c r="V20"/>
  <c r="O21"/>
  <c r="P21"/>
  <c r="Q21"/>
  <c r="R21"/>
  <c r="S21"/>
  <c r="T21"/>
  <c r="U21"/>
  <c r="V21"/>
  <c r="O22"/>
  <c r="P22"/>
  <c r="Q22"/>
  <c r="R22"/>
  <c r="S22"/>
  <c r="T22"/>
  <c r="U22"/>
  <c r="V22"/>
  <c r="O23"/>
  <c r="P23"/>
  <c r="Q23"/>
  <c r="R23"/>
  <c r="S23"/>
  <c r="T23"/>
  <c r="U23"/>
  <c r="V23"/>
  <c r="O24"/>
  <c r="P24"/>
  <c r="Q24"/>
  <c r="R24"/>
  <c r="S24"/>
  <c r="T24"/>
  <c r="U24"/>
  <c r="V24"/>
  <c r="O25"/>
  <c r="P25"/>
  <c r="Q25"/>
  <c r="R25"/>
  <c r="S25"/>
  <c r="T25"/>
  <c r="U25"/>
  <c r="V25"/>
  <c r="O26"/>
  <c r="P26"/>
  <c r="Q26"/>
  <c r="R26"/>
  <c r="S26"/>
  <c r="T26"/>
  <c r="U26"/>
  <c r="V26"/>
  <c r="O27"/>
  <c r="P27"/>
  <c r="Q27"/>
  <c r="R27"/>
  <c r="S27"/>
  <c r="T27"/>
  <c r="U27"/>
  <c r="V27"/>
  <c r="O28"/>
  <c r="P28"/>
  <c r="Q28"/>
  <c r="R28"/>
  <c r="S28"/>
  <c r="T28"/>
  <c r="U28"/>
  <c r="V28"/>
  <c r="O29"/>
  <c r="P29"/>
  <c r="Q29"/>
  <c r="R29"/>
  <c r="S29"/>
  <c r="T29"/>
  <c r="U29"/>
  <c r="V29"/>
  <c r="O30"/>
  <c r="P30"/>
  <c r="Q30"/>
  <c r="R30"/>
  <c r="S30"/>
  <c r="T30"/>
  <c r="U30"/>
  <c r="V30"/>
  <c r="O31"/>
  <c r="P31"/>
  <c r="Q31"/>
  <c r="R31"/>
  <c r="S31"/>
  <c r="T31"/>
  <c r="U31"/>
  <c r="V31"/>
  <c r="O32"/>
  <c r="P32"/>
  <c r="Q32"/>
  <c r="R32"/>
  <c r="S32"/>
  <c r="T32"/>
  <c r="U32"/>
  <c r="V32"/>
  <c r="O33"/>
  <c r="P33"/>
  <c r="Q33"/>
  <c r="R33"/>
  <c r="S33"/>
  <c r="T33"/>
  <c r="U33"/>
  <c r="V33"/>
  <c r="O34"/>
  <c r="P34"/>
  <c r="Q34"/>
  <c r="R34"/>
  <c r="S34"/>
  <c r="T34"/>
  <c r="U34"/>
  <c r="V34"/>
  <c r="O35"/>
  <c r="P35"/>
  <c r="Q35"/>
  <c r="R35"/>
  <c r="S35"/>
  <c r="T35"/>
  <c r="U35"/>
  <c r="V35"/>
  <c r="O36"/>
  <c r="P36"/>
  <c r="Q36"/>
  <c r="R36"/>
  <c r="S36"/>
  <c r="T36"/>
  <c r="U36"/>
  <c r="V36"/>
  <c r="O37"/>
  <c r="P37"/>
  <c r="Q37"/>
  <c r="R37"/>
  <c r="S37"/>
  <c r="T37"/>
  <c r="U37"/>
  <c r="V37"/>
  <c r="O38"/>
  <c r="P38"/>
  <c r="Q38"/>
  <c r="R38"/>
  <c r="S38"/>
  <c r="T38"/>
  <c r="U38"/>
  <c r="V38"/>
  <c r="O39"/>
  <c r="P39"/>
  <c r="Q39"/>
  <c r="R39"/>
  <c r="S39"/>
  <c r="T39"/>
  <c r="U39"/>
  <c r="V39"/>
  <c r="O40"/>
  <c r="P40"/>
  <c r="Q40"/>
  <c r="R40"/>
  <c r="S40"/>
  <c r="T40"/>
  <c r="U40"/>
  <c r="V40"/>
  <c r="O41"/>
  <c r="P41"/>
  <c r="Q41"/>
  <c r="R41"/>
  <c r="S41"/>
  <c r="T41"/>
  <c r="U41"/>
  <c r="V41"/>
  <c r="O42"/>
  <c r="P42"/>
  <c r="Q42"/>
  <c r="R42"/>
  <c r="S42"/>
  <c r="T42"/>
  <c r="U42"/>
  <c r="V42"/>
  <c r="O43"/>
  <c r="P43"/>
  <c r="Q43"/>
  <c r="R43"/>
  <c r="S43"/>
  <c r="T43"/>
  <c r="U43"/>
  <c r="V43"/>
  <c r="O44"/>
  <c r="P44"/>
  <c r="Q44"/>
  <c r="R44"/>
  <c r="S44"/>
  <c r="T44"/>
  <c r="U44"/>
  <c r="V44"/>
  <c r="O45"/>
  <c r="P45"/>
  <c r="Q45"/>
  <c r="R45"/>
  <c r="S45"/>
  <c r="T45"/>
  <c r="U45"/>
  <c r="V45"/>
  <c r="O46"/>
  <c r="P46"/>
  <c r="Q46"/>
  <c r="R46"/>
  <c r="S46"/>
  <c r="T46"/>
  <c r="U46"/>
  <c r="V46"/>
  <c r="O47"/>
  <c r="P47"/>
  <c r="Q47"/>
  <c r="R47"/>
  <c r="S47"/>
  <c r="T47"/>
  <c r="U47"/>
  <c r="V47"/>
  <c r="O48"/>
  <c r="P48"/>
  <c r="Q48"/>
  <c r="R48"/>
  <c r="S48"/>
  <c r="T48"/>
  <c r="U48"/>
  <c r="V48"/>
  <c r="O49"/>
  <c r="P49"/>
  <c r="Q49"/>
  <c r="R49"/>
  <c r="S49"/>
  <c r="T49"/>
  <c r="U49"/>
  <c r="V49"/>
  <c r="O50"/>
  <c r="P50"/>
  <c r="Q50"/>
  <c r="R50"/>
  <c r="S50"/>
  <c r="T50"/>
  <c r="U50"/>
  <c r="V50"/>
  <c r="O51"/>
  <c r="P51"/>
  <c r="Q51"/>
  <c r="R51"/>
  <c r="S51"/>
  <c r="T51"/>
  <c r="U51"/>
  <c r="V51"/>
  <c r="O52"/>
  <c r="P52"/>
  <c r="Q52"/>
  <c r="R52"/>
  <c r="S52"/>
  <c r="T52"/>
  <c r="U52"/>
  <c r="V52"/>
  <c r="O53"/>
  <c r="P53"/>
  <c r="Q53"/>
  <c r="R53"/>
  <c r="S53"/>
  <c r="T53"/>
  <c r="U53"/>
  <c r="V53"/>
  <c r="O54"/>
  <c r="P54"/>
  <c r="Q54"/>
  <c r="R54"/>
  <c r="S54"/>
  <c r="T54"/>
  <c r="U54"/>
  <c r="V54"/>
  <c r="O55"/>
  <c r="P55"/>
  <c r="Q55"/>
  <c r="R55"/>
  <c r="S55"/>
  <c r="T55"/>
  <c r="U55"/>
  <c r="V55"/>
  <c r="O56"/>
  <c r="P56"/>
  <c r="Q56"/>
  <c r="R56"/>
  <c r="S56"/>
  <c r="T56"/>
  <c r="U56"/>
  <c r="V56"/>
  <c r="O57"/>
  <c r="P57"/>
  <c r="Q57"/>
  <c r="R57"/>
  <c r="S57"/>
  <c r="T57"/>
  <c r="U57"/>
  <c r="V57"/>
  <c r="O58"/>
  <c r="P58"/>
  <c r="Q58"/>
  <c r="R58"/>
  <c r="S58"/>
  <c r="T58"/>
  <c r="U58"/>
  <c r="V58"/>
  <c r="O59"/>
  <c r="P59"/>
  <c r="Q59"/>
  <c r="R59"/>
  <c r="S59"/>
  <c r="T59"/>
  <c r="U59"/>
  <c r="V59"/>
  <c r="O60"/>
  <c r="P60"/>
  <c r="Q60"/>
  <c r="R60"/>
  <c r="S60"/>
  <c r="T60"/>
  <c r="U60"/>
  <c r="V60"/>
  <c r="O61"/>
  <c r="P61"/>
  <c r="Q61"/>
  <c r="R61"/>
  <c r="S61"/>
  <c r="T61"/>
  <c r="U61"/>
  <c r="V61"/>
  <c r="O62"/>
  <c r="P62"/>
  <c r="Q62"/>
  <c r="R62"/>
  <c r="S62"/>
  <c r="T62"/>
  <c r="U62"/>
  <c r="V62"/>
  <c r="O63"/>
  <c r="P63"/>
  <c r="Q63"/>
  <c r="R63"/>
  <c r="S63"/>
  <c r="T63"/>
  <c r="U63"/>
  <c r="V63"/>
  <c r="O64"/>
  <c r="P64"/>
  <c r="Q64"/>
  <c r="R64"/>
  <c r="S64"/>
  <c r="T64"/>
  <c r="U64"/>
  <c r="V64"/>
  <c r="O65"/>
  <c r="P65"/>
  <c r="Q65"/>
  <c r="R65"/>
  <c r="S65"/>
  <c r="T65"/>
  <c r="U65"/>
  <c r="V65"/>
  <c r="O66"/>
  <c r="P66"/>
  <c r="Q66"/>
  <c r="R66"/>
  <c r="S66"/>
  <c r="T66"/>
  <c r="U66"/>
  <c r="V66"/>
  <c r="O67"/>
  <c r="P67"/>
  <c r="Q67"/>
  <c r="R67"/>
  <c r="S67"/>
  <c r="T67"/>
  <c r="U67"/>
  <c r="V67"/>
  <c r="O68"/>
  <c r="P68"/>
  <c r="Q68"/>
  <c r="R68"/>
  <c r="S68"/>
  <c r="T68"/>
  <c r="U68"/>
  <c r="V68"/>
  <c r="O69"/>
  <c r="P69"/>
  <c r="Q69"/>
  <c r="R69"/>
  <c r="S69"/>
  <c r="T69"/>
  <c r="U69"/>
  <c r="V69"/>
  <c r="O70"/>
  <c r="P70"/>
  <c r="Q70"/>
  <c r="R70"/>
  <c r="S70"/>
  <c r="T70"/>
  <c r="U70"/>
  <c r="V70"/>
  <c r="O71"/>
  <c r="P71"/>
  <c r="Q71"/>
  <c r="R71"/>
  <c r="S71"/>
  <c r="T71"/>
  <c r="U71"/>
  <c r="V71"/>
  <c r="O72"/>
  <c r="P72"/>
  <c r="Q72"/>
  <c r="R72"/>
  <c r="S72"/>
  <c r="T72"/>
  <c r="U72"/>
  <c r="V72"/>
  <c r="O73"/>
  <c r="P73"/>
  <c r="Q73"/>
  <c r="R73"/>
  <c r="S73"/>
  <c r="T73"/>
  <c r="U73"/>
  <c r="V73"/>
  <c r="O74"/>
  <c r="P74"/>
  <c r="Q74"/>
  <c r="R74"/>
  <c r="S74"/>
  <c r="T74"/>
  <c r="U74"/>
  <c r="V74"/>
  <c r="O75"/>
  <c r="P75"/>
  <c r="Q75"/>
  <c r="R75"/>
  <c r="S75"/>
  <c r="T75"/>
  <c r="U75"/>
  <c r="V75"/>
  <c r="O76"/>
  <c r="P76"/>
  <c r="Q76"/>
  <c r="R76"/>
  <c r="S76"/>
  <c r="T76"/>
  <c r="U76"/>
  <c r="V76"/>
  <c r="O77"/>
  <c r="P77"/>
  <c r="Q77"/>
  <c r="R77"/>
  <c r="S77"/>
  <c r="T77"/>
  <c r="U77"/>
  <c r="V77"/>
  <c r="O78"/>
  <c r="P78"/>
  <c r="Q78"/>
  <c r="R78"/>
  <c r="S78"/>
  <c r="T78"/>
  <c r="U78"/>
  <c r="V78"/>
  <c r="O79"/>
  <c r="P79"/>
  <c r="Q79"/>
  <c r="R79"/>
  <c r="S79"/>
  <c r="T79"/>
  <c r="U79"/>
  <c r="V79"/>
  <c r="O80"/>
  <c r="P80"/>
  <c r="Q80"/>
  <c r="R80"/>
  <c r="S80"/>
  <c r="T80"/>
  <c r="U80"/>
  <c r="V80"/>
  <c r="O81"/>
  <c r="P81"/>
  <c r="Q81"/>
  <c r="R81"/>
  <c r="S81"/>
  <c r="T81"/>
  <c r="U81"/>
  <c r="V81"/>
  <c r="O82"/>
  <c r="P82"/>
  <c r="Q82"/>
  <c r="R82"/>
  <c r="S82"/>
  <c r="T82"/>
  <c r="U82"/>
  <c r="V82"/>
  <c r="O83"/>
  <c r="P83"/>
  <c r="Q83"/>
  <c r="R83"/>
  <c r="S83"/>
  <c r="T83"/>
  <c r="U83"/>
  <c r="V83"/>
  <c r="O84"/>
  <c r="P84"/>
  <c r="Q84"/>
  <c r="R84"/>
  <c r="S84"/>
  <c r="T84"/>
  <c r="U84"/>
  <c r="V84"/>
  <c r="O85"/>
  <c r="P85"/>
  <c r="Q85"/>
  <c r="R85"/>
  <c r="S85"/>
  <c r="T85"/>
  <c r="U85"/>
  <c r="V85"/>
  <c r="O86"/>
  <c r="P86"/>
  <c r="Q86"/>
  <c r="R86"/>
  <c r="S86"/>
  <c r="T86"/>
  <c r="U86"/>
  <c r="V86"/>
  <c r="O87"/>
  <c r="P87"/>
  <c r="Q87"/>
  <c r="R87"/>
  <c r="S87"/>
  <c r="T87"/>
  <c r="U87"/>
  <c r="V87"/>
  <c r="O88"/>
  <c r="P88"/>
  <c r="Q88"/>
  <c r="R88"/>
  <c r="S88"/>
  <c r="T88"/>
  <c r="U88"/>
  <c r="V88"/>
  <c r="O89"/>
  <c r="P89"/>
  <c r="Q89"/>
  <c r="R89"/>
  <c r="S89"/>
  <c r="T89"/>
  <c r="U89"/>
  <c r="V89"/>
  <c r="O90"/>
  <c r="P90"/>
  <c r="Q90"/>
  <c r="R90"/>
  <c r="S90"/>
  <c r="T90"/>
  <c r="U90"/>
  <c r="V90"/>
  <c r="O91"/>
  <c r="P91"/>
  <c r="Q91"/>
  <c r="R91"/>
  <c r="S91"/>
  <c r="T91"/>
  <c r="U91"/>
  <c r="V91"/>
  <c r="O92"/>
  <c r="P92"/>
  <c r="Q92"/>
  <c r="R92"/>
  <c r="S92"/>
  <c r="T92"/>
  <c r="U92"/>
  <c r="V92"/>
  <c r="O93"/>
  <c r="P93"/>
  <c r="Q93"/>
  <c r="R93"/>
  <c r="S93"/>
  <c r="T93"/>
  <c r="U93"/>
  <c r="V93"/>
  <c r="O94"/>
  <c r="P94"/>
  <c r="Q94"/>
  <c r="R94"/>
  <c r="S94"/>
  <c r="T94"/>
  <c r="U94"/>
  <c r="V94"/>
  <c r="O95"/>
  <c r="P95"/>
  <c r="Q95"/>
  <c r="R95"/>
  <c r="S95"/>
  <c r="T95"/>
  <c r="U95"/>
  <c r="V95"/>
  <c r="O96"/>
  <c r="P96"/>
  <c r="Q96"/>
  <c r="R96"/>
  <c r="S96"/>
  <c r="T96"/>
  <c r="U96"/>
  <c r="V96"/>
  <c r="O97"/>
  <c r="P97"/>
  <c r="Q97"/>
  <c r="R97"/>
  <c r="S97"/>
  <c r="T97"/>
  <c r="U97"/>
  <c r="V97"/>
  <c r="O98"/>
  <c r="P98"/>
  <c r="Q98"/>
  <c r="R98"/>
  <c r="S98"/>
  <c r="T98"/>
  <c r="U98"/>
  <c r="V98"/>
  <c r="O99"/>
  <c r="P99"/>
  <c r="Q99"/>
  <c r="R99"/>
  <c r="S99"/>
  <c r="T99"/>
  <c r="U99"/>
  <c r="V99"/>
  <c r="O100"/>
  <c r="P100"/>
  <c r="Q100"/>
  <c r="R100"/>
  <c r="S100"/>
  <c r="T100"/>
  <c r="U100"/>
  <c r="V100"/>
  <c r="O101"/>
  <c r="P101"/>
  <c r="Q101"/>
  <c r="R101"/>
  <c r="S101"/>
  <c r="T101"/>
  <c r="U101"/>
  <c r="V101"/>
  <c r="O102"/>
  <c r="P102"/>
  <c r="Q102"/>
  <c r="R102"/>
  <c r="S102"/>
  <c r="T102"/>
  <c r="U102"/>
  <c r="V102"/>
  <c r="O103"/>
  <c r="P103"/>
  <c r="Q103"/>
  <c r="R103"/>
  <c r="S103"/>
  <c r="T103"/>
  <c r="U103"/>
  <c r="V103"/>
  <c r="O104"/>
  <c r="P104"/>
  <c r="Q104"/>
  <c r="R104"/>
  <c r="S104"/>
  <c r="T104"/>
  <c r="U104"/>
  <c r="V104"/>
  <c r="O105"/>
  <c r="P105"/>
  <c r="Q105"/>
  <c r="R105"/>
  <c r="S105"/>
  <c r="T105"/>
  <c r="U105"/>
  <c r="V105"/>
  <c r="O106"/>
  <c r="P106"/>
  <c r="Q106"/>
  <c r="R106"/>
  <c r="S106"/>
  <c r="T106"/>
  <c r="U106"/>
  <c r="V106"/>
  <c r="O107"/>
  <c r="P107"/>
  <c r="Q107"/>
  <c r="R107"/>
  <c r="S107"/>
  <c r="T107"/>
  <c r="U107"/>
  <c r="V107"/>
  <c r="O108"/>
  <c r="P108"/>
  <c r="Q108"/>
  <c r="R108"/>
  <c r="S108"/>
  <c r="T108"/>
  <c r="U108"/>
  <c r="V108"/>
  <c r="O109"/>
  <c r="P109"/>
  <c r="Q109"/>
  <c r="R109"/>
  <c r="S109"/>
  <c r="T109"/>
  <c r="U109"/>
  <c r="V109"/>
  <c r="O110"/>
  <c r="P110"/>
  <c r="Q110"/>
  <c r="R110"/>
  <c r="S110"/>
  <c r="T110"/>
  <c r="U110"/>
  <c r="V110"/>
  <c r="O111"/>
  <c r="P111"/>
  <c r="Q111"/>
  <c r="R111"/>
  <c r="S111"/>
  <c r="T111"/>
  <c r="U111"/>
  <c r="V111"/>
  <c r="O112"/>
  <c r="P112"/>
  <c r="Q112"/>
  <c r="R112"/>
  <c r="S112"/>
  <c r="T112"/>
  <c r="U112"/>
  <c r="V112"/>
  <c r="O113"/>
  <c r="P113"/>
  <c r="Q113"/>
  <c r="R113"/>
  <c r="S113"/>
  <c r="T113"/>
  <c r="U113"/>
  <c r="V113"/>
  <c r="O114"/>
  <c r="P114"/>
  <c r="Q114"/>
  <c r="R114"/>
  <c r="S114"/>
  <c r="T114"/>
  <c r="U114"/>
  <c r="V114"/>
  <c r="O115"/>
  <c r="P115"/>
  <c r="Q115"/>
  <c r="R115"/>
  <c r="S115"/>
  <c r="T115"/>
  <c r="U115"/>
  <c r="V115"/>
  <c r="O116"/>
  <c r="P116"/>
  <c r="Q116"/>
  <c r="R116"/>
  <c r="S116"/>
  <c r="T116"/>
  <c r="U116"/>
  <c r="V116"/>
  <c r="O117"/>
  <c r="P117"/>
  <c r="Q117"/>
  <c r="R117"/>
  <c r="S117"/>
  <c r="T117"/>
  <c r="U117"/>
  <c r="V117"/>
  <c r="O118"/>
  <c r="P118"/>
  <c r="Q118"/>
  <c r="R118"/>
  <c r="S118"/>
  <c r="T118"/>
  <c r="U118"/>
  <c r="V118"/>
  <c r="O119"/>
  <c r="P119"/>
  <c r="Q119"/>
  <c r="R119"/>
  <c r="S119"/>
  <c r="T119"/>
  <c r="U119"/>
  <c r="V119"/>
  <c r="O120"/>
  <c r="P120"/>
  <c r="Q120"/>
  <c r="R120"/>
  <c r="S120"/>
  <c r="T120"/>
  <c r="U120"/>
  <c r="V120"/>
  <c r="O121"/>
  <c r="P121"/>
  <c r="Q121"/>
  <c r="R121"/>
  <c r="S121"/>
  <c r="T121"/>
  <c r="U121"/>
  <c r="V121"/>
  <c r="O122"/>
  <c r="P122"/>
  <c r="Q122"/>
  <c r="R122"/>
  <c r="S122"/>
  <c r="T122"/>
  <c r="U122"/>
  <c r="V122"/>
  <c r="O123"/>
  <c r="P123"/>
  <c r="Q123"/>
  <c r="R123"/>
  <c r="S123"/>
  <c r="T123"/>
  <c r="U123"/>
  <c r="V123"/>
  <c r="O124"/>
  <c r="P124"/>
  <c r="Q124"/>
  <c r="R124"/>
  <c r="S124"/>
  <c r="T124"/>
  <c r="U124"/>
  <c r="V124"/>
  <c r="O125"/>
  <c r="P125"/>
  <c r="Q125"/>
  <c r="R125"/>
  <c r="S125"/>
  <c r="T125"/>
  <c r="U125"/>
  <c r="V125"/>
  <c r="O126"/>
  <c r="P126"/>
  <c r="Q126"/>
  <c r="R126"/>
  <c r="S126"/>
  <c r="T126"/>
  <c r="U126"/>
  <c r="V126"/>
  <c r="O127"/>
  <c r="P127"/>
  <c r="Q127"/>
  <c r="R127"/>
  <c r="S127"/>
  <c r="T127"/>
  <c r="U127"/>
  <c r="V127"/>
  <c r="O128"/>
  <c r="P128"/>
  <c r="Q128"/>
  <c r="R128"/>
  <c r="S128"/>
  <c r="T128"/>
  <c r="U128"/>
  <c r="V128"/>
  <c r="O129"/>
  <c r="P129"/>
  <c r="Q129"/>
  <c r="R129"/>
  <c r="S129"/>
  <c r="T129"/>
  <c r="U129"/>
  <c r="V129"/>
  <c r="O130"/>
  <c r="P130"/>
  <c r="Q130"/>
  <c r="R130"/>
  <c r="S130"/>
  <c r="T130"/>
  <c r="U130"/>
  <c r="V130"/>
  <c r="O131"/>
  <c r="P131"/>
  <c r="Q131"/>
  <c r="R131"/>
  <c r="S131"/>
  <c r="T131"/>
  <c r="U131"/>
  <c r="V131"/>
  <c r="O132"/>
  <c r="P132"/>
  <c r="Q132"/>
  <c r="R132"/>
  <c r="S132"/>
  <c r="T132"/>
  <c r="U132"/>
  <c r="V132"/>
  <c r="O133"/>
  <c r="P133"/>
  <c r="Q133"/>
  <c r="R133"/>
  <c r="S133"/>
  <c r="T133"/>
  <c r="U133"/>
  <c r="V133"/>
  <c r="O134"/>
  <c r="P134"/>
  <c r="Q134"/>
  <c r="R134"/>
  <c r="S134"/>
  <c r="T134"/>
  <c r="U134"/>
  <c r="V134"/>
  <c r="O135"/>
  <c r="P135"/>
  <c r="Q135"/>
  <c r="R135"/>
  <c r="S135"/>
  <c r="T135"/>
  <c r="U135"/>
  <c r="V135"/>
  <c r="O136"/>
  <c r="P136"/>
  <c r="Q136"/>
  <c r="R136"/>
  <c r="S136"/>
  <c r="T136"/>
  <c r="U136"/>
  <c r="V136"/>
  <c r="O137"/>
  <c r="P137"/>
  <c r="Q137"/>
  <c r="R137"/>
  <c r="S137"/>
  <c r="T137"/>
  <c r="U137"/>
  <c r="V137"/>
  <c r="O138"/>
  <c r="P138"/>
  <c r="Q138"/>
  <c r="R138"/>
  <c r="S138"/>
  <c r="T138"/>
  <c r="U138"/>
  <c r="V138"/>
  <c r="O139"/>
  <c r="P139"/>
  <c r="Q139"/>
  <c r="R139"/>
  <c r="S139"/>
  <c r="T139"/>
  <c r="U139"/>
  <c r="V139"/>
  <c r="O140"/>
  <c r="P140"/>
  <c r="Q140"/>
  <c r="R140"/>
  <c r="S140"/>
  <c r="T140"/>
  <c r="U140"/>
  <c r="V140"/>
  <c r="O141"/>
  <c r="P141"/>
  <c r="Q141"/>
  <c r="R141"/>
  <c r="S141"/>
  <c r="T141"/>
  <c r="U141"/>
  <c r="V141"/>
  <c r="O142"/>
  <c r="P142"/>
  <c r="Q142"/>
  <c r="R142"/>
  <c r="S142"/>
  <c r="T142"/>
  <c r="U142"/>
  <c r="V142"/>
  <c r="O143"/>
  <c r="P143"/>
  <c r="Q143"/>
  <c r="R143"/>
  <c r="S143"/>
  <c r="T143"/>
  <c r="U143"/>
  <c r="V143"/>
  <c r="O144"/>
  <c r="P144"/>
  <c r="Q144"/>
  <c r="R144"/>
  <c r="S144"/>
  <c r="T144"/>
  <c r="U144"/>
  <c r="V144"/>
  <c r="O145"/>
  <c r="P145"/>
  <c r="Q145"/>
  <c r="R145"/>
  <c r="S145"/>
  <c r="T145"/>
  <c r="U145"/>
  <c r="V145"/>
  <c r="O146"/>
  <c r="P146"/>
  <c r="Q146"/>
  <c r="R146"/>
  <c r="S146"/>
  <c r="T146"/>
  <c r="U146"/>
  <c r="V146"/>
  <c r="O147"/>
  <c r="P147"/>
  <c r="Q147"/>
  <c r="R147"/>
  <c r="S147"/>
  <c r="T147"/>
  <c r="U147"/>
  <c r="V147"/>
  <c r="O148"/>
  <c r="P148"/>
  <c r="Q148"/>
  <c r="R148"/>
  <c r="S148"/>
  <c r="T148"/>
  <c r="U148"/>
  <c r="V148"/>
  <c r="O149"/>
  <c r="P149"/>
  <c r="Q149"/>
  <c r="R149"/>
  <c r="S149"/>
  <c r="T149"/>
  <c r="U149"/>
  <c r="V149"/>
  <c r="O150"/>
  <c r="P150"/>
  <c r="Q150"/>
  <c r="R150"/>
  <c r="S150"/>
  <c r="T150"/>
  <c r="U150"/>
  <c r="V150"/>
  <c r="O151"/>
  <c r="P151"/>
  <c r="Q151"/>
  <c r="R151"/>
  <c r="S151"/>
  <c r="T151"/>
  <c r="U151"/>
  <c r="V151"/>
  <c r="O152"/>
  <c r="P152"/>
  <c r="Q152"/>
  <c r="R152"/>
  <c r="S152"/>
  <c r="T152"/>
  <c r="U152"/>
  <c r="V152"/>
  <c r="O153"/>
  <c r="P153"/>
  <c r="Q153"/>
  <c r="R153"/>
  <c r="S153"/>
  <c r="T153"/>
  <c r="U153"/>
  <c r="V153"/>
  <c r="O154"/>
  <c r="P154"/>
  <c r="Q154"/>
  <c r="R154"/>
  <c r="S154"/>
  <c r="T154"/>
  <c r="U154"/>
  <c r="V154"/>
  <c r="O155"/>
  <c r="P155"/>
  <c r="Q155"/>
  <c r="R155"/>
  <c r="S155"/>
  <c r="T155"/>
  <c r="U155"/>
  <c r="V155"/>
  <c r="O156"/>
  <c r="P156"/>
  <c r="Q156"/>
  <c r="R156"/>
  <c r="S156"/>
  <c r="T156"/>
  <c r="U156"/>
  <c r="V156"/>
  <c r="O157"/>
  <c r="P157"/>
  <c r="Q157"/>
  <c r="R157"/>
  <c r="S157"/>
  <c r="T157"/>
  <c r="U157"/>
  <c r="V157"/>
  <c r="O158"/>
  <c r="P158"/>
  <c r="Q158"/>
  <c r="R158"/>
  <c r="S158"/>
  <c r="T158"/>
  <c r="U158"/>
  <c r="V158"/>
  <c r="O159"/>
  <c r="P159"/>
  <c r="Q159"/>
  <c r="R159"/>
  <c r="S159"/>
  <c r="T159"/>
  <c r="U159"/>
  <c r="V159"/>
  <c r="O160"/>
  <c r="P160"/>
  <c r="Q160"/>
  <c r="R160"/>
  <c r="S160"/>
  <c r="T160"/>
  <c r="U160"/>
  <c r="V160"/>
  <c r="O161"/>
  <c r="P161"/>
  <c r="Q161"/>
  <c r="R161"/>
  <c r="S161"/>
  <c r="T161"/>
  <c r="U161"/>
  <c r="V161"/>
  <c r="O162"/>
  <c r="P162"/>
  <c r="Q162"/>
  <c r="R162"/>
  <c r="S162"/>
  <c r="T162"/>
  <c r="U162"/>
  <c r="V162"/>
  <c r="O163"/>
  <c r="P163"/>
  <c r="Q163"/>
  <c r="R163"/>
  <c r="S163"/>
  <c r="T163"/>
  <c r="U163"/>
  <c r="V163"/>
  <c r="O164"/>
  <c r="P164"/>
  <c r="Q164"/>
  <c r="R164"/>
  <c r="S164"/>
  <c r="T164"/>
  <c r="U164"/>
  <c r="V164"/>
  <c r="O165"/>
  <c r="P165"/>
  <c r="Q165"/>
  <c r="R165"/>
  <c r="S165"/>
  <c r="T165"/>
  <c r="U165"/>
  <c r="V165"/>
  <c r="O166"/>
  <c r="P166"/>
  <c r="Q166"/>
  <c r="R166"/>
  <c r="S166"/>
  <c r="T166"/>
  <c r="U166"/>
  <c r="V166"/>
  <c r="O167"/>
  <c r="P167"/>
  <c r="Q167"/>
  <c r="R167"/>
  <c r="S167"/>
  <c r="T167"/>
  <c r="U167"/>
  <c r="V167"/>
  <c r="O168"/>
  <c r="P168"/>
  <c r="Q168"/>
  <c r="R168"/>
  <c r="S168"/>
  <c r="T168"/>
  <c r="U168"/>
  <c r="V168"/>
  <c r="O169"/>
  <c r="P169"/>
  <c r="Q169"/>
  <c r="R169"/>
  <c r="S169"/>
  <c r="T169"/>
  <c r="U169"/>
  <c r="V169"/>
  <c r="O170"/>
  <c r="P170"/>
  <c r="Q170"/>
  <c r="R170"/>
  <c r="S170"/>
  <c r="T170"/>
  <c r="U170"/>
  <c r="V170"/>
  <c r="O171"/>
  <c r="P171"/>
  <c r="Q171"/>
  <c r="R171"/>
  <c r="S171"/>
  <c r="T171"/>
  <c r="U171"/>
  <c r="V171"/>
  <c r="O172"/>
  <c r="P172"/>
  <c r="Q172"/>
  <c r="R172"/>
  <c r="S172"/>
  <c r="T172"/>
  <c r="U172"/>
  <c r="V172"/>
  <c r="O173"/>
  <c r="P173"/>
  <c r="Q173"/>
  <c r="R173"/>
  <c r="S173"/>
  <c r="T173"/>
  <c r="U173"/>
  <c r="V173"/>
  <c r="O174"/>
  <c r="P174"/>
  <c r="Q174"/>
  <c r="R174"/>
  <c r="S174"/>
  <c r="T174"/>
  <c r="U174"/>
  <c r="V174"/>
  <c r="O175"/>
  <c r="P175"/>
  <c r="Q175"/>
  <c r="R175"/>
  <c r="S175"/>
  <c r="T175"/>
  <c r="U175"/>
  <c r="V175"/>
  <c r="O176"/>
  <c r="P176"/>
  <c r="Q176"/>
  <c r="R176"/>
  <c r="S176"/>
  <c r="T176"/>
  <c r="U176"/>
  <c r="V176"/>
  <c r="O177"/>
  <c r="P177"/>
  <c r="Q177"/>
  <c r="R177"/>
  <c r="S177"/>
  <c r="T177"/>
  <c r="U177"/>
  <c r="V177"/>
  <c r="O178"/>
  <c r="P178"/>
  <c r="Q178"/>
  <c r="R178"/>
  <c r="S178"/>
  <c r="T178"/>
  <c r="U178"/>
  <c r="V178"/>
  <c r="O179"/>
  <c r="P179"/>
  <c r="Q179"/>
  <c r="R179"/>
  <c r="S179"/>
  <c r="T179"/>
  <c r="U179"/>
  <c r="V179"/>
  <c r="O180"/>
  <c r="P180"/>
  <c r="Q180"/>
  <c r="R180"/>
  <c r="S180"/>
  <c r="T180"/>
  <c r="U180"/>
  <c r="V180"/>
  <c r="O181"/>
  <c r="P181"/>
  <c r="Q181"/>
  <c r="R181"/>
  <c r="S181"/>
  <c r="T181"/>
  <c r="U181"/>
  <c r="V181"/>
  <c r="O182"/>
  <c r="P182"/>
  <c r="Q182"/>
  <c r="R182"/>
  <c r="S182"/>
  <c r="T182"/>
  <c r="U182"/>
  <c r="V182"/>
  <c r="O183"/>
  <c r="P183"/>
  <c r="Q183"/>
  <c r="R183"/>
  <c r="S183"/>
  <c r="T183"/>
  <c r="U183"/>
  <c r="V183"/>
  <c r="O184"/>
  <c r="P184"/>
  <c r="Q184"/>
  <c r="R184"/>
  <c r="S184"/>
  <c r="T184"/>
  <c r="U184"/>
  <c r="V184"/>
  <c r="O185"/>
  <c r="P185"/>
  <c r="Q185"/>
  <c r="R185"/>
  <c r="S185"/>
  <c r="T185"/>
  <c r="U185"/>
  <c r="V185"/>
  <c r="O186"/>
  <c r="P186"/>
  <c r="Q186"/>
  <c r="R186"/>
  <c r="S186"/>
  <c r="T186"/>
  <c r="U186"/>
  <c r="V186"/>
  <c r="O187"/>
  <c r="P187"/>
  <c r="Q187"/>
  <c r="R187"/>
  <c r="S187"/>
  <c r="T187"/>
  <c r="U187"/>
  <c r="V187"/>
  <c r="O188"/>
  <c r="P188"/>
  <c r="Q188"/>
  <c r="R188"/>
  <c r="S188"/>
  <c r="T188"/>
  <c r="U188"/>
  <c r="V188"/>
  <c r="O189"/>
  <c r="P189"/>
  <c r="Q189"/>
  <c r="R189"/>
  <c r="S189"/>
  <c r="T189"/>
  <c r="U189"/>
  <c r="V189"/>
  <c r="O190"/>
  <c r="P190"/>
  <c r="Q190"/>
  <c r="R190"/>
  <c r="S190"/>
  <c r="T190"/>
  <c r="U190"/>
  <c r="V190"/>
  <c r="O191"/>
  <c r="P191"/>
  <c r="Q191"/>
  <c r="R191"/>
  <c r="S191"/>
  <c r="T191"/>
  <c r="U191"/>
  <c r="V191"/>
  <c r="O192"/>
  <c r="P192"/>
  <c r="Q192"/>
  <c r="R192"/>
  <c r="S192"/>
  <c r="T192"/>
  <c r="U192"/>
  <c r="V192"/>
  <c r="O193"/>
  <c r="P193"/>
  <c r="Q193"/>
  <c r="R193"/>
  <c r="S193"/>
  <c r="T193"/>
  <c r="U193"/>
  <c r="V193"/>
  <c r="O194"/>
  <c r="P194"/>
  <c r="Q194"/>
  <c r="R194"/>
  <c r="S194"/>
  <c r="T194"/>
  <c r="U194"/>
  <c r="V194"/>
  <c r="O195"/>
  <c r="P195"/>
  <c r="Q195"/>
  <c r="R195"/>
  <c r="S195"/>
  <c r="T195"/>
  <c r="U195"/>
  <c r="V195"/>
  <c r="O196"/>
  <c r="P196"/>
  <c r="Q196"/>
  <c r="R196"/>
  <c r="S196"/>
  <c r="T196"/>
  <c r="U196"/>
  <c r="V196"/>
  <c r="O197"/>
  <c r="P197"/>
  <c r="Q197"/>
  <c r="R197"/>
  <c r="S197"/>
  <c r="T197"/>
  <c r="U197"/>
  <c r="V197"/>
  <c r="O198"/>
  <c r="P198"/>
  <c r="Q198"/>
  <c r="R198"/>
  <c r="S198"/>
  <c r="T198"/>
  <c r="U198"/>
  <c r="V198"/>
  <c r="O199"/>
  <c r="P199"/>
  <c r="Q199"/>
  <c r="R199"/>
  <c r="S199"/>
  <c r="T199"/>
  <c r="U199"/>
  <c r="V199"/>
  <c r="O200"/>
  <c r="P200"/>
  <c r="Q200"/>
  <c r="R200"/>
  <c r="S200"/>
  <c r="T200"/>
  <c r="U200"/>
  <c r="V200"/>
  <c r="O201"/>
  <c r="P201"/>
  <c r="Q201"/>
  <c r="R201"/>
  <c r="S201"/>
  <c r="T201"/>
  <c r="U201"/>
  <c r="V201"/>
  <c r="O202"/>
  <c r="P202"/>
  <c r="Q202"/>
  <c r="R202"/>
  <c r="S202"/>
  <c r="T202"/>
  <c r="U202"/>
  <c r="V202"/>
  <c r="O203"/>
  <c r="P203"/>
  <c r="Q203"/>
  <c r="R203"/>
  <c r="S203"/>
  <c r="T203"/>
  <c r="U203"/>
  <c r="V203"/>
  <c r="O204"/>
  <c r="P204"/>
  <c r="Q204"/>
  <c r="R204"/>
  <c r="S204"/>
  <c r="T204"/>
  <c r="U204"/>
  <c r="V204"/>
  <c r="O205"/>
  <c r="P205"/>
  <c r="Q205"/>
  <c r="R205"/>
  <c r="S205"/>
  <c r="T205"/>
  <c r="U205"/>
  <c r="V205"/>
  <c r="O206"/>
  <c r="P206"/>
  <c r="Q206"/>
  <c r="R206"/>
  <c r="S206"/>
  <c r="T206"/>
  <c r="U206"/>
  <c r="V206"/>
  <c r="O207"/>
  <c r="P207"/>
  <c r="Q207"/>
  <c r="R207"/>
  <c r="S207"/>
  <c r="T207"/>
  <c r="U207"/>
  <c r="V207"/>
  <c r="O208"/>
  <c r="P208"/>
  <c r="Q208"/>
  <c r="R208"/>
  <c r="S208"/>
  <c r="T208"/>
  <c r="U208"/>
  <c r="V208"/>
  <c r="O209"/>
  <c r="P209"/>
  <c r="Q209"/>
  <c r="R209"/>
  <c r="S209"/>
  <c r="T209"/>
  <c r="U209"/>
  <c r="V209"/>
  <c r="O210"/>
  <c r="P210"/>
  <c r="Q210"/>
  <c r="R210"/>
  <c r="S210"/>
  <c r="T210"/>
  <c r="U210"/>
  <c r="V210"/>
  <c r="O211"/>
  <c r="P211"/>
  <c r="Q211"/>
  <c r="R211"/>
  <c r="S211"/>
  <c r="T211"/>
  <c r="U211"/>
  <c r="V211"/>
  <c r="O212"/>
  <c r="P212"/>
  <c r="Q212"/>
  <c r="R212"/>
  <c r="S212"/>
  <c r="T212"/>
  <c r="U212"/>
  <c r="V212"/>
  <c r="O213"/>
  <c r="P213"/>
  <c r="Q213"/>
  <c r="R213"/>
  <c r="S213"/>
  <c r="T213"/>
  <c r="U213"/>
  <c r="V213"/>
  <c r="O214"/>
  <c r="P214"/>
  <c r="Q214"/>
  <c r="R214"/>
  <c r="S214"/>
  <c r="T214"/>
  <c r="U214"/>
  <c r="V214"/>
  <c r="O215"/>
  <c r="P215"/>
  <c r="Q215"/>
  <c r="R215"/>
  <c r="S215"/>
  <c r="T215"/>
  <c r="U215"/>
  <c r="V215"/>
  <c r="O216"/>
  <c r="P216"/>
  <c r="Q216"/>
  <c r="R216"/>
  <c r="S216"/>
  <c r="T216"/>
  <c r="U216"/>
  <c r="V216"/>
  <c r="O217"/>
  <c r="P217"/>
  <c r="Q217"/>
  <c r="R217"/>
  <c r="S217"/>
  <c r="T217"/>
  <c r="U217"/>
  <c r="V217"/>
  <c r="O218"/>
  <c r="P218"/>
  <c r="Q218"/>
  <c r="R218"/>
  <c r="S218"/>
  <c r="T218"/>
  <c r="U218"/>
  <c r="V218"/>
  <c r="O219"/>
  <c r="P219"/>
  <c r="Q219"/>
  <c r="R219"/>
  <c r="S219"/>
  <c r="T219"/>
  <c r="U219"/>
  <c r="V219"/>
  <c r="O220"/>
  <c r="P220"/>
  <c r="Q220"/>
  <c r="R220"/>
  <c r="S220"/>
  <c r="T220"/>
  <c r="U220"/>
  <c r="V220"/>
  <c r="O221"/>
  <c r="P221"/>
  <c r="Q221"/>
  <c r="R221"/>
  <c r="S221"/>
  <c r="T221"/>
  <c r="U221"/>
  <c r="V221"/>
  <c r="O222"/>
  <c r="P222"/>
  <c r="Q222"/>
  <c r="R222"/>
  <c r="S222"/>
  <c r="T222"/>
  <c r="U222"/>
  <c r="V222"/>
  <c r="O223"/>
  <c r="P223"/>
  <c r="Q223"/>
  <c r="R223"/>
  <c r="S223"/>
  <c r="T223"/>
  <c r="U223"/>
  <c r="V223"/>
  <c r="O224"/>
  <c r="P224"/>
  <c r="Q224"/>
  <c r="R224"/>
  <c r="S224"/>
  <c r="T224"/>
  <c r="U224"/>
  <c r="V224"/>
  <c r="O225"/>
  <c r="P225"/>
  <c r="Q225"/>
  <c r="R225"/>
  <c r="S225"/>
  <c r="T225"/>
  <c r="U225"/>
  <c r="V225"/>
  <c r="O226"/>
  <c r="P226"/>
  <c r="Q226"/>
  <c r="R226"/>
  <c r="S226"/>
  <c r="T226"/>
  <c r="U226"/>
  <c r="V226"/>
  <c r="O227"/>
  <c r="P227"/>
  <c r="Q227"/>
  <c r="R227"/>
  <c r="S227"/>
  <c r="T227"/>
  <c r="U227"/>
  <c r="V227"/>
  <c r="O228"/>
  <c r="P228"/>
  <c r="Q228"/>
  <c r="R228"/>
  <c r="S228"/>
  <c r="T228"/>
  <c r="U228"/>
  <c r="V228"/>
  <c r="O229"/>
  <c r="P229"/>
  <c r="Q229"/>
  <c r="R229"/>
  <c r="S229"/>
  <c r="T229"/>
  <c r="U229"/>
  <c r="V229"/>
  <c r="O230"/>
  <c r="P230"/>
  <c r="Q230"/>
  <c r="R230"/>
  <c r="S230"/>
  <c r="T230"/>
  <c r="U230"/>
  <c r="V230"/>
  <c r="O231"/>
  <c r="P231"/>
  <c r="Q231"/>
  <c r="R231"/>
  <c r="S231"/>
  <c r="T231"/>
  <c r="U231"/>
  <c r="V231"/>
  <c r="O232"/>
  <c r="P232"/>
  <c r="Q232"/>
  <c r="R232"/>
  <c r="S232"/>
  <c r="T232"/>
  <c r="U232"/>
  <c r="V232"/>
  <c r="O233"/>
  <c r="P233"/>
  <c r="Q233"/>
  <c r="R233"/>
  <c r="S233"/>
  <c r="T233"/>
  <c r="U233"/>
  <c r="V233"/>
  <c r="O234"/>
  <c r="P234"/>
  <c r="Q234"/>
  <c r="R234"/>
  <c r="S234"/>
  <c r="T234"/>
  <c r="U234"/>
  <c r="V234"/>
  <c r="O235"/>
  <c r="P235"/>
  <c r="Q235"/>
  <c r="R235"/>
  <c r="S235"/>
  <c r="T235"/>
  <c r="U235"/>
  <c r="V235"/>
  <c r="V2"/>
  <c r="U2"/>
  <c r="T2"/>
  <c r="S2"/>
  <c r="R2"/>
  <c r="Q2"/>
  <c r="P2"/>
  <c r="O2"/>
</calcChain>
</file>

<file path=xl/sharedStrings.xml><?xml version="1.0" encoding="utf-8"?>
<sst xmlns="http://schemas.openxmlformats.org/spreadsheetml/2006/main" count="16094" uniqueCount="2676">
  <si>
    <t>Bite</t>
    <phoneticPr fontId="0" type="noConversion"/>
  </si>
  <si>
    <t>Beak</t>
    <phoneticPr fontId="0" type="noConversion"/>
  </si>
  <si>
    <t>Bite</t>
    <phoneticPr fontId="0" type="noConversion"/>
  </si>
  <si>
    <t>The term "Grape" is a misnomer. These creatures will snatch the occasional tasty fruit from easily accessible vines, but they lived in Vinicao long before humans did, and they got along just fine before the introduction of the grape. They are slim, furry quadrupeds, with long skinny necks reminiscent of the Earth Native wading birds such as herons and egrets. Consuming, in addition to fruit, insects, small animals, and young plant shoots, the creature often positions its body for a quick getaway while its head probes for food. Whether their raids damage vineyards or help them by destroying pests has not yet been determined, but is believed that the vineyards have been good for this genus of weasent. Before the arrival of Man, the Long Necked Weasant was confined to the "pocket gardens" formed in the canyons and narrow valleys of Vinicao. Their range has since expended, and there is every indication that human alterations to the land have benefitted this species. Some residents, once of a mind to destroy every grape eating weasent they could find, have since decided that the creatures are a valuable ally to the farmer, filling a role between cat, mongoose, and scarecrow, and have been trying to tame them, with some good results.</t>
  </si>
  <si>
    <t>The "Rock Swan" is a found along mountainous coasts from Acre to Chapacara. The creature is a true triphibian, capable of flight, swimming underwater, and walking on land, although it is notoriously clumsy at that last pursuit. 9 species are known, differign in size, habitat, and diet. The statistics above are for one of the larger examples, Fodro’s Broad-winged Cisneroca. These species builds nest on steep mountainsides or cliff ledges, and flies many kilometers out to sea in search of schools of fish. They tend to group together in swarms of about 20 to 50 animals before beginning their hunting flight and upon sighting a suitable school of prey, they entire flock will drop into the water and begin eating fish. When sated, they fly back to their nests, and regurgitate a portion of their meal for their young, as well as pregnant Cisnerocas that did not make the flight. The Cisneroca is warm blooded and gives birth to live young, but shows no other strictures that would classify it as a mammal, and some structures that would seem to disqualify it, such as its birdlike body and lack of hair- the fine fur on the creatures body is not true hair, but the fringe-like fibres growing from the creature’s almost vestigial scales.</t>
  </si>
  <si>
    <t>Vinicao - Provincia do Brasil P21</t>
  </si>
  <si>
    <t>Long Necked Grape Weasent</t>
  </si>
  <si>
    <t>A cold-blooded creature similar to Terrestrial snakes, the monusupia is found in the Liberty Point region and the tropical islands surrounding it. A monusupia will have two 30cm "fingers" at the end of its body, which have a grip strength that belie their dexterity. These are used in catching prey. Using the fingers and its jaw, a monusupia moves by swinging itself from branch to branch in the jungles of southern Tirania. "Monu's" have an odd mythology attached to them, especially in terms of fingers clamping one's leg while it strikes the jugular. However, this mythology is often meant to tease newcomers and tourists, as monusupias often flee when larger creatures are about.</t>
  </si>
  <si>
    <t>Meninoro</t>
  </si>
  <si>
    <t xml:space="preserve">This is a small, quadruped, very agile carnivore. The Meninoro can move around the most formidable mountain terrain with ease, and is notoriously clever. Generally, they travel in packs. Often, they’ve been known to intrude into human range land (or has human range land intruded into Meninoro habitat?) and attack human livestock. They are inquisitive creatures, and they have also been known to enter human vehicles and dwellings, to explore and make a mess of the place. They often take things from houses or vehicles, and carry them back to their dens for no apparent reasons. Even if they can’t gain entry to houses or vehicles, they have been known to carry off interesting items left outdoors. They avoid humans, despite their extreme interest in human artifacts.
</t>
  </si>
  <si>
    <t>Vinicao - Provincia do Brasil P20</t>
  </si>
  <si>
    <t>Cisneroca</t>
  </si>
  <si>
    <t>Dranta-Kwo</t>
  </si>
  <si>
    <t xml:space="preserve">Similar to the jumbuck of New Canberra, dranta-kwos live in large herds in the rocky Sierra Cascadias, where they are able to protect their eggs in large nests. Four-legged monotremes, or egg-laying mammals, like their New Canberran counterparts, they are highly prized by Native American groups who use them for their eggs, milk, meat, and thick, furry hides. Efforts to domesticate them, however, have proven difficult, as the shock of captivity prevents wild dranta- kwo's from laying eggs or producing milk. What domestic breeds exist have come from years of stealing eggs from existing nests and hand-raising young. Currently, though, there are sufficient dranta-kwos to begin a viable commercial industry. Examples up to 1.6m tall have been found, but the domestic breeds seldom get larger than 1.4m tall.
</t>
  </si>
  <si>
    <t>Tirania A New Direction P29</t>
  </si>
  <si>
    <t>Limbes Cruitay</t>
  </si>
  <si>
    <t>Cruitays also live in the jungles of the Liberty Point region and nearby islands, and fill an odd niche between plant and animal. Immobile and often hidden in benign fungi and mosses of the region's rainforests, as a result of hiding cruitays require additional nutritional supplement. So, like a large venus flytrap, it captures and consumes the creatures that inhabit the jungles treetrunks and branches, often monusupias. Seldom do limbes cruitays exist on ground level.</t>
  </si>
  <si>
    <t>Monusupia</t>
  </si>
  <si>
    <t>The Tiracamel is a member of the Dranta family like the Jumbuck of New Canberra, but one that has adapted to life in the arid parts of Tirane. It has longer legs and a large fat deposit under its belly, and can be found migrating between the oasis areas of the Blight. Its desert dwelling lifestyle gave it it's name, but it has a much more placid disposition than its bad tempered Terran counterpart.</t>
  </si>
  <si>
    <t>Diplorabo</t>
  </si>
  <si>
    <t>The diplarabo is a cow-sized creature thats head and tail are very similar in appearance and it was initially thought it had two tails and no head. The diplarabo uses its long neck to elevate its head to reach higher vegetation on land, but in the water, actually walks the bottoms of ponds and lakes using its head like a snorkel/perisope. While non-aggressive, it will fight if cornered or to defend its young by biting with its head and whipping its tail to strike anything behind it.</t>
  </si>
  <si>
    <t>The Northeast - Provincia do Brasil P21</t>
  </si>
  <si>
    <t>Feimarmon</t>
  </si>
  <si>
    <t>100-1000</t>
  </si>
  <si>
    <t>The feimarmon is another monsupial and looks like a snake with two "fingers" on its tail. The feimarmon occupies a niche that would be filled by iguanas and seals. Its aquatic movement is 70.</t>
  </si>
  <si>
    <t>The Rinn is an aquatic creature found around the shores of Wellon in a variety of sub-species. It seems to have followed a similar evolutionary track as Terran dolphins to which they bear a passing resemblance. However whilst the display some of the playfulness of their Terran counter-parts they also display some of the characteristics of the shark. Human ship wreck victims have reported being attacks by pods of Rinn where these animals will 'play' with the humans rushing in to attack and circling before attacking again. In some instances life rafts have been overturned by attacking Rinn.
The most commonly seen Rinn are those that are seen around the shores, feeding on the aquatic life found there. The University of New Capetown has been responsible for most of the basic research done on this subject, predominantly by studying the many Rinn of the Golden Bay. However other species of Rinn have been found much further out in the oceans, but much less is known about these. Another large relative of the Rinn has also been sighted in Arctic waters. The much smaller Delta Rinn has been seen surprisingly large distances up the Cam river, but have been dying out due to human fishing in this environment.
The coastal Rinn are gregarious, birthing their young live which are raised by the core (female) pod. Whilst the male Rinn tend to orbit around the core group, returning every day or so. Rinn have been seen leaving the water for prolonged periods of time, (up to an hour) using their muscular fins to drag themselves. They normally do this to scavenge a carcass or raid bird nests, but are not true amphibians and are very unwieldy out of water.</t>
  </si>
  <si>
    <t>Tiracamel</t>
  </si>
  <si>
    <t>The Redkat is Wellon's adopted symbol, a snarling redkat features on the RWAF and RWN Fleet Air Arm roundel. Originally discovered by an Afrikaans speaking researcher with the BACS who named it after the rooikat of his homeland (and soon transliterated to redkat). The redkat is a wolf-sized carnivore and member of the Tiracat family which is found in the northern zones of the Tiralbion and the other Tiranean continents.
Unlike the Greerlion the Redkats are largely solitary animals and are renowned for their intelligence, stubbornness and ferocity when cornered. Its dogged defence of its own kills and territory against the far larger Afanc soon earned it the admiration of the researchers of the BACS and people who lived in the area alongside it. Some Redkats have been tamed after being raised from birth, however the independent nature of the beast has never successfully been curbed.</t>
  </si>
  <si>
    <t>Reynard</t>
  </si>
  <si>
    <t>The Reynard is a much smaller member of the same family as the Afanc, and shares some of that animals viciousness when cornered as well as its amphibious lifestyle. However the Reynard tends to live in riverbank sets and has a much larger range, being found throughout Wellon to the north of the Blight. The Reynard has gained a reputation for savaging smaller human livestock and pets as well as attacking human children on rare occasions. Consequently the Reynard is much hunted, both by trapping and shooting, but also with Horse and Hounds.</t>
  </si>
  <si>
    <t>The CW of Wellon - Director Resources P9</t>
  </si>
  <si>
    <t>Rinn</t>
  </si>
  <si>
    <t>The Koevoet Devil holds a place in Wellon mythology not unlike that of the Great White Shark does on Earth, that of a mysterious, implacable killer. The Koevoet Devil was first discovered in the Koevoet Desert by a small FPK exploration team and resulted in the death of three of the teams members. The survivor managed to kill the Devil, the badly shaken Afrikaans speaking guide responded later that you wouldn't get him back into that desert with a crowbar (Koevoet). Which gave its name to both the area of desert and the animal. Perhaps luckily the animal has never been found outside the Koevoet Desert area. The Koevoet Devil has proved notoriously difficult to track down and classify, one BBC wildlife camera crew having disappeared in its attempts to film this animal. The Devil appears to prey on the Tiracamel of the region, generally by hiding itself under the sand and then attacking violently with poisoned claws and teeth. The animal seems to be related to the Tiracat family, except being much larger and hairless. Conjecture has it that the animal has incredibly acute ability to smell moisture over large distances. There are also rumours that in Big Game Hunter circles the head of a Koevoet Devil is greatly sought after.</t>
  </si>
  <si>
    <t>The CW of Wellon - Director Resources P8</t>
  </si>
  <si>
    <t>Redkat</t>
  </si>
  <si>
    <t>The Hellkat is smaller and rarer than the better known Wellonese Tiracats, but what it lacks in body mass it makes up for in bad attitude. Found in the Pendragons and the wooded hills around Narvik, the Hellkat has been described as looking like a Redkat on steroids. Although typically somewhat smaller than a Redkat, the Hellkat is noticeably more heavily developed across the shoulders and at first glance many people are misled into believing they are confronting a much larger animal. The Hellkat is technically a hunter, but typically prefers to launch close- range attacks from concealment. Pairs mate for life and a mature pair can demonstrate almost supernatural coordination in their hunting.
Redkats and Afancs will not willingly share territory, but the Hellkat seems to have taken the Tiracat emnity with the Beaver-Bears to new heights. Hellkats have actually been observed undermining Afanc dams and the confrontations that result will usually not stop until one side or the other has sustained serious injuries. Field zoologists from the FPK have recorded individual territories in the Eastern Pendragons switching repeatedly back and forth from Afanc to Hellkat control as individuals of each species grow to maturity and then age. Unfortunately the Hellkat's bad attitude extends to other creatures than the Afanc and a noticeable percentage of reported Afanc attacks on humans have turned out to be Hellkat attacks when the claw patterns and other forensic evidence have been examined. Tiranean taxonomists are split over the Hellkat, a major segment hold that it is a subspecies of Redkat and should be named 'Tirachat Wellonicus Robustus', whereas the majority, backed by the geneticists, hold it to be a species in its own right, preferring the name 'Tirachat Infernalis'</t>
  </si>
  <si>
    <t>Koevoet Devil</t>
  </si>
  <si>
    <t>The Greerlion is largest of the Tiracat family found on Wellon (although the Koevoet Devil and Redkat come close) and is found in the Savannah regions to the north of the Blight. It is easily distinguished by the large tufted ears and black main sported by the male Greerlions. Greerlion society is rigidly matriarchal with the Alpha female ruling over a pride of males and lesser females. Prides also have a hierarchy especially as some are run by the offspring of a senior Alpha female. Greerlions are not particularly territorial and some evidence of co-operation between related prides during times of scarcity of food have been observed. However conflicts between individual prides can often escalate and come to involve related prides in the area, but are usually soon resolved.
Greerlions normally feed on members of the Dranta family, and only on rare occasion have they attacked Terran cattle. It is believed that Greerlion find them generally unpalatable, and it should be noted that the Greerlion is not poisonous like the smaller Gatto (known as a Kat in Wellon as 'a Gatto is a cake!'.) The Greerlion's lack of territoriality extends to generally ignoring humans passing through its range, although one male will normally trail the party. Whatever the reason for this behaviour it allows human researchers close access to study this remarkable animal.</t>
  </si>
  <si>
    <t>The CW of Wellon - Director Resources P7</t>
  </si>
  <si>
    <t>Hellkat</t>
  </si>
  <si>
    <t>The Bayard is a large, omnivorous quadruped of the Dranta group. It can be found in herds in the Savannah north of the Blight and on the North Albion Plain. Whilst normally a grazing animal it will also happily scavenge from kills from other animals. The spirited Bayard has a fearsome kick which along with its speed and endurance make it a rare victim of predators.</t>
  </si>
  <si>
    <t>The CW of Wellon - Director Resources P6</t>
  </si>
  <si>
    <t>Gnonose</t>
  </si>
  <si>
    <t>This animal is the Wellonic equivalent of the elephantine Gargantacarnado found in Provincia do Brasil, its main difference is that it is slightly smaller than its southern cousin. It is primarily found in the New Albion Rain Forests, where it coexists relatively peacefully with human colonists. Although the ease with which the animal has accepted the human presence has not been reciprocated, as these animals frequently wander through human settlements especially during the mating season. It is not always easy getting to sleep with a love-sick Gnonose bellowing its calls outside your window. The Gnonose has also adapted peacefully to the introduction of Terran pachyderms into its ranges in the Livingstone Peninsular.
In addition to the Common Gnonose, there are two other types of Gnonose found on Wellon. The giant and majestic Grey Gnonose is found on Rijder's Island, and has a highly developed hierarchical society. The much smaller solitary Forest Gnonose has been discovered in some of the woodlands around the North Albion Plain. This animal is quite rare and is only found in any numbers in the Yellow Forest area.</t>
  </si>
  <si>
    <t>Greerlion</t>
  </si>
  <si>
    <t>Sera do Prado - Provincia do Brasil P17</t>
  </si>
  <si>
    <t>Wisenta Pradoa</t>
  </si>
  <si>
    <t>This is the smallest in the Weasent, family, and apparently evolved from the Wisenta Montana. It’s niche is more specialized, and it is a burrowing predator, seeking out insects, worms, and small burrowing prey, in a addition to being a capable scavenger. The Sharp "shovel teeth" that allow the animal to dig also give the small animal the ability to cause wounds far in excess of its size, however, they will attack humans only in extremis. Their chief threat is based in their inquisitiveness. They will investigate strange objects left on the ground at night, entering vehicles as well as chewing their way into packs, sleeping bags, etc. They will often bite when startled, then run. Females give birth to a brood of up to eight simultaneously, but no more than six generally survive until adulthood. This brood stays together throughout their adult life. They do not mate amongst themselves, but mate with members of other broods when broods encounter each other during the mating season. This "pack" strategy helps them survive in an inhospitable environment. Brood members assist in rearing of young, digging of burrows, and watching for danger, like terrestrial prairie dogs, but also hunt together, like terrestrial wolves. Lone animals will not join another brood, unless they are fortunate enough to come across one composed of siblings. In this way, a brood will often be larger than a single birthing’s worth of animals.
In some areas, the ranges of the Wisenta Pradoa and the Wisenta Montana overlap. The two species diverged, most likely, several million years ago and are now competitors, since the upper end of suitable prey for the Pradoas includes the lower end of suitable prey for Montanas.</t>
  </si>
  <si>
    <t>The bizarre "Alpine Rock Shrimp" were common in the region when the settlement began, but have become rare in many areas, and have vanished entirely from others. Their numbers still decrease steadily. Part of this dramatic species loss is due to a raging epidemic brought about by Earth microorganisms. The poor little creatures seem to have now ability to fight off Earth-native yeasts, which appear to find the animal quite tasty. Unfortunately, humans and their pets find the Camairicos tasty as well, and collection for consumption has finished off what the epidemic began near many human settlements. (Properly cooked, even an infected Camairico poses no threat to humans when eaten, and handling an infected creature is safe.)
The camairico is about the size and weight of a Terrestrial Guinea pig, with a rough gray covering making a sort of leathery carapace ending in a strong tail, composed of a stiffened, strengthened section of the same material as the carapace. The tail, which reminds many of the tails of shrimp, is used for digging, and as it wears down it is replaced by freshly growing material from the creature’s back. It crawls among the rocky slopes at high altitudes, scraping Tiranian simple plants equivalent to Earth’s lichens, mosses, and algaes from rock surfaces with two sets of unique tandem tongues. The creature is a speedy burrower, using a burrow for rest, egg laying, and escape. The Camaraico actually has to burrow into rocky ground, or the tail will continue to grow. Burrowing wears the tail down. Specimens in zoos have been known to grow tails so large the creatures could not walk. Where the animals cannot be housed with ground in which they can burrow, zookeepers must frequently trim the tail. This does not harm the creature- it is akin to cutting human finger nails. Once burrowed in, a Camairico reverses itself, placing the strong, sharp tail closes to the entrance of the burrow. Predatory Wisentas Pradoas will often dig them out by excavating parallel tunnels.
Humans generally find the creatures very edible, and the Camairico is one of the reasons why remote settlements and recluses have been able to survive in the brutal mountain terrain of Sera do Prado. Ecologists are concerned that the loss of the Camairico will upset delicate alpine ecosystems as other animals that depended on the Camairico for food also decline. This has already been seen in some areas. Not only have stocks of other native animals fell, but the simple plants which the Camairicos ate have spread, coating come rock surfaces with a greenish brown fuzz.</t>
  </si>
  <si>
    <t>Camairico</t>
  </si>
  <si>
    <t>The sniper is a larger gruntbuggly that has left its herbivorous ancestry behind and developed an entirely carnivorous diet. Its pellets are of such size and propelled with such force as to be able to stun animals as large as Ebers The sniper’s inner leg spines are much heavier than those of the sharpshooters, serving as an aid in carrying its incapacitated prey back into the burrow The sniper’s rodent-like front teeth have evolved into tusks, useful both for digging and for killing prey.</t>
  </si>
  <si>
    <t>Nightmare, Chaser</t>
  </si>
  <si>
    <t>Chasers have multiple legs and dark bodies carried close to the ground. Their eyes seem to function on some infrared or light amplification system, as they are quite at home in the blackness, and if the Rangers use flares, the creatures will be dazzled and disoriented for a moment but will quickly regroup to violently attack the source of light and smother it with their bodies.</t>
  </si>
  <si>
    <t>Ranger P58</t>
  </si>
  <si>
    <t>Nightmare, Cutter</t>
  </si>
  <si>
    <t>Cutters carry large scythe-like jaws on their flat, dish-shaped heads. Their job is to slice up creatures siunried by the sparklers so that the grabbers can carry them away They can also attack unstunned targets.</t>
  </si>
  <si>
    <t>Nightmare, Grabber</t>
  </si>
  <si>
    <t xml:space="preserve">Grabbers have large tong-shaped jaws to carry prey to their subterranean burrows where it is fed to their queen and her larvae Grabbers can also attack living targets; several of them will combine to carry away a struggling victim. </t>
  </si>
  <si>
    <t>Nightmare, Queen</t>
  </si>
  <si>
    <t>The nightmares only have one queen per valley colony, as her brood can scavenge an area clean of most competition. The queen spends her entire life several hundred meters deep in a burrow. Each brood numbers in the hundreds of mature hunters, plus several dozen larvae and nurse castes.</t>
  </si>
  <si>
    <t>Formidable</t>
  </si>
  <si>
    <t>Nightmare, Sparkler</t>
  </si>
  <si>
    <t>Sparklers have bulbous heads with no visible jaws, but they spray a fine ionized aerosol that drifts downwind in a cloud onto their target. Then electrical organs charge the cloud, doing electrical stun damage.</t>
  </si>
  <si>
    <t>Electricity</t>
  </si>
  <si>
    <t>Communal gruntbugglies are small creatures that live in shared burrows containing whole colonies of the animals They feed on the roots of plants that they reach by burrowing, and they project their fecal pellets into the ceilings of their tunnels, fertiliz- ing the ground above
This subterranean lifestyle means that they almost never have to leave their tunnel complexes, and as a consequence, they are rarely seen by humans, although their burrows are very com- mon Communal gruntbugglies have rodent-like front teeth to gnaw on roots and to help in burrowing through obstacles.</t>
  </si>
  <si>
    <t>Ranger P13</t>
  </si>
  <si>
    <t>Great Sniper</t>
  </si>
  <si>
    <t>The largest of the gruntbuggly species, the great sniper, feeds exclusively on predators that it lures to its burrow It leaves rotting food outside the entrance, then makes scuffling noises to lure the unfortunate victim inside. There it either fires point-blank into its prey or gores the creature with its three-kilogram tusk The great sniper hardly ever needs to move from its burrow, as its meals deliver themselves.</t>
  </si>
  <si>
    <t>Omnivoous Sharpshooter</t>
  </si>
  <si>
    <t>The omnivorous sharpshooter, a larger version of the sharp- shooter described above, supplements its fruit diet with insects and small animals that it knocks from plants This creature aims at these mobile targets by looking back between its legs, which have spines that seem to serve as sighting aids.</t>
  </si>
  <si>
    <t>Sharpshooter</t>
  </si>
  <si>
    <t>This type of gruntbuggly is a fruit eater that has adapted its behavior to allow it to feed on succulent fruits that grow high above the ground The sharpshooter gruntbuggly propels a fecal pellet to knock such fruit loose from high branches, then the gruntbuggly scurries forth to retrieve it. Sharpshooters live singly in burrows, though several such burrows may be located near to one another</t>
  </si>
  <si>
    <t>Sniper</t>
  </si>
  <si>
    <t>The E-horse is a grazing herbivore domesticated by the Ebers for use as a riding animal It has four limbs, the forward pair are longer than the rear, which helps the animal to reach the foliage of low trees with its long, slim trunk. This trunk is located near the top of the E-horse’s rudimentary head, and it allows the animal to carry food to its underslung jaws Of course, the trunk can also be used to pluck grasses and shrubs at ground level as well. Most E-horseson Kormoran are domesticated, but there are some mavericks that roam the fringes of the Great Desert where they are hunted by the Nomadic Ebers Domesticated E-horses are bred for various sizes and uses, the largest being capable of carrying their own plate armor and a fully armed and armored Eber.</t>
  </si>
  <si>
    <t>Sea Dragon</t>
  </si>
  <si>
    <t>Sea dragons are giant 20-meter sea creatures that travel alone, but swarm in packs when food is discovered Each sea dragon has SIX paddle-shapedlimbs and a three-meter sinuous neck surmounted by a meter-long, tooth-filled head. Sea dragons feed on shoals of fish, on other sea dragons, on curtain dragons, or on nearly anything else that moves They are hunted by the Civilized Ebers with harpoons, an occupation that is as dangerous to the Ebers as to the sea dragons One curious custom sometimes practiced by Eber fishermen is to catch and butcher a sea dragon, then throw its carcass back into the sea. The Ebers claim that this results in a large catch of macroplankton, pelagic crustaceans, and the like. Eberologistsare fascinated by this tale, citing It as a modern derivative of ancient myths of an Eber sea-god</t>
  </si>
  <si>
    <t>Communal Gruntbugglies</t>
  </si>
  <si>
    <t>1D10 X 1D6</t>
  </si>
  <si>
    <t>Although somewhat shorter (18 meters) and fatter than sea dragons, cur- tain dragons are otherwise very similar in appearance to them However, this similarity in ap- pearance is hidden by the great masses of sea plants that affix themselves to these slow-moving creatures and dangle their ropy tendrils deep into the sea It is from these veritable sheets of plant tendrils that curtain dragons get their name. The sea dragons serve as mobile supports for the plant growth on their backs, lifting these plants into the light and carrying them into nutrient-rich waters In return, the plants grow long tendrils that act as seines, sweeping up large numbers of macroplankton as the sea dragons swim slowly along It is upon these macroplankton that the curtain dragons feed, sucking their accumulated numbers from the plant tendrils. Although they are usually peaceful creatures. sea dragons can be unpredictable.</t>
  </si>
  <si>
    <t>Ranger P12</t>
  </si>
  <si>
    <t>E-Dog</t>
  </si>
  <si>
    <t>The E-dog is a small, four-limbed creature with a flexible pig-likesnout, well adapted to tracking by scent and to hunting Wild E-dogs can be encountered in packs, but most of the animals are of the domestic variety. Like the E-horse, the E-dog has longer forelegs than back legs, but its head IS slightly more pronounced than the E-horse’s The combination of long forelegs and very little neck force the animal to kneel when feeding. however.</t>
  </si>
  <si>
    <t>E-Horse</t>
  </si>
  <si>
    <t>Like most Kormorese bird analogs, the cotta bird has six limbs, the forward pair are adapted as grasping claws, the middle pair as wings, and the rear pair as taloned feet. Cottas are scavengerssimilar to Terran vultures. Their primary importance to the Ebers is that a group of cotta birds circling on the horizon is generally an indication of the presence of an Eber desert settlement</t>
  </si>
  <si>
    <t>Hulk</t>
  </si>
  <si>
    <t xml:space="preserve">The hulk is a six-legged, heavy-bodiedomnivorous hunter. A furred mammal analog, its fur ranges from a lightly striped pattern to a uniform brown-black. This creature is common in forests and highlands where it uses its impressive array of teeth to prey upon other forest creatures It is not much of a climber, but it can rear up on its back four legs to reach food, on the lower branches of trees or to fight with its front paws There is also a sandy-coloreddesert variety of hulk, with a reduced body size but larger ears and paws </t>
  </si>
  <si>
    <t>Tall Fox</t>
  </si>
  <si>
    <t>The tall fox is six-leggedlike the hulk, but it is slimmer and able to hold its forebody erect more easily Its coloration is similar to the Terran gray fox, including a luxuriant banner- like tail. There is also a desert variety of the tall fox, tan to sand in color, and smaller-bodied with larger extremities</t>
  </si>
  <si>
    <t>Curtain Dragon</t>
  </si>
  <si>
    <t>This predator of forest, woodland, and wetland is related to the Weasent, but is much larger, and seeks larger prey. It is one of the few predators in Provincia do Brasil that will attack a human, typically a small human. Jacanthas are pack animals with a reputation for intelligence and agility. (They seem to combine in one animal the most dangerous traits of wolves and wolverines. ) They are known for watching potential prey for extended periods from hidden positions before striking. They can climb trees and swim well, but are not fast runners. Unable to catch swifter animals in an extended chase, they will position themselves ahead of prey and wait in ambush. Like wolves, they instinctively encirlcle prey. Their pelts are varigiated shades of gray and brown, evolved to provide concealment in shadowy forests. The pelts become thicker when the weather turns colder, and ther is some market for Jacantha fur in good condition, although hunting is severely restricted. Their packs are matriarchal, composed of a lead female, her mates, and those of her offspring that have not departed to form packs of their own. They range throughout all of eastern Cabralia, but are rare along the mountainous north coast. Typical game includes Tarnders and other herbivores.</t>
  </si>
  <si>
    <t>This six-leggedbrowsing herbivore is common in both wild and domesticatedforms on Kormoran. Centaurs are routinely able to raise their forebodies up into a posture that gives rise to their name, and their forepaws are adapted to form claws, allowing them to grasp tree trunks and raise themselves to feed on higher branches.</t>
  </si>
  <si>
    <t>82 Eridani</t>
  </si>
  <si>
    <t>Ranger P11</t>
  </si>
  <si>
    <t>Cotta Bird</t>
  </si>
  <si>
    <t>Jacantha</t>
  </si>
  <si>
    <t>Oxala’s native herd grazer, the Red Tarnder, is an adaptable animal that roams prairies, deserts and open woodlands from Central Oxala west to Nova Ostia. They avoid the dense forests of eastern Oxala, as the vegetation impedes their speed and vision, their primary defenses against predators. The animal is a mammalian appearing quadruped distantly related to the Jumbuck but more closely related to the other Tarnder species, including the Bald Tarnder of Sera do Prado. The Red Tarnders have a rich red pelt, the color of iron-rich clay, which, after acquiring dust from their travels, gives them excellent campflauge in the deserts of western Oxala. Following the plan of most herd grazers, they susbsist almost entirely on vegetation. The Red Tarnder is a skittish creature, quick to run. Given the choice, it will never choose to fight, but will lash out with strong kicks as a last resort. Like most grazers of open areas, they are highly visual animals with eyes set back to allow the widest possible field of vision. They have extremely acute eyesight, very sensitive to sudden motion.</t>
  </si>
  <si>
    <t>Red Tarnder</t>
  </si>
  <si>
    <t>10-1000</t>
  </si>
  <si>
    <t>This is the largest insect on Tirane (for the sake of simplicity, the small exo- skeletal life forms on Tirane are referred to as insects, even though they devieate significantly from Earth insects.). It is common to the coastal wetlands of the south, especially along the Peninsula Iridescente, where it hunts during warmer weather and becomes dormant (or sometimes dies off entirely, leaving only egs behind) during cooler cycles. The Zundor is a primitive creature, analogous to Earth’s dragon flies, having evolved its current form hundreds of millions of years ago. It is now confined to a few ecosystems. It is large and heavy for an insect, and emits a distinctive humming sound as it flies, much as an Earth hummingbird. The name "Zundor" is derived from a Portuguese root meaning "hummer". The Zundor hunts singly, in the twilight hours of morning and evening, skimming low over the wetlands as is searches for small aquatic creatures- typically those up to several centimeters in length, which it spears with its long, sharp, probiscus before hauling back to its nest. The probiscus of the Zundor is quite lethal- if you happen to be a Tiranean acquatic creature a few centimeters in length. On occasion, they have attacked humans, generally when provoked, or when the humans happen to be eating or handling fish. Their tend to fly away after scoring one hit, which does not cause real damage. The DPV in this case is used only to see if the wound penetrates armor, and it will never penetrate rigid armor. The victim recieves a painful, itchy rash that will persist from 4-40 hours. In rare cases a more severe reaction might result, non fatal, but incapacitating and requiring medical attention. (To avoid severe reaction to Zundor bite, Routine, 10 minutes, Size of victim and Medical skill of person treating bite) Zundors are about 60-100 grams, and are iridescent green, and are of no commercial value. Although more than one Zundor is often seen at one time, they do not coordinate their attacks in any way, and the appearance of multiple creatures is simply a matter of each competing for food in the same favorable area.</t>
  </si>
  <si>
    <t>A long legged, long necked and very brightly colored herbivore, resembling an emu in ways but displaying very colorful, short fuzzy hair over its skin. The Vedeto is skittish and unusually sensitive to human presence- it has an amazing ability to make itself scarce when observers draw near and very few have been captured. The Vedeto’s forearms are joined to the body with thin, fuzzy membranes of skin, and it stretches these out like wings when running. Few fossils have been found that point to an evolutionary past, although research is continuing, so scientists currently do not know if the Vedeto has evolved away from flight, or is in fact evolving towards it. Although they are hard to approach, Vedetos are very visible from a distance. Their fuzz covered skin seems to sparkle in the sunlight, reflecting in prism-like patterns. Why a creature should evolve so as to be so obvious is unknown, especially as both sexes of the Vedeto display these bright, reflective colors.</t>
  </si>
  <si>
    <t>Slug Beast (imported by Kafers)</t>
  </si>
  <si>
    <t>The ’Slug Beast’ is a creature that the Kafers decided to import from oneoftheirworlds. Itisa very large quadruped which possessesa bony armor that covers its en- tirebodyandis especially tough around the creature’sskull. Itisca- pable of hibernating for long periods of time, awakened by any un- usualheat, light, orsound
which might mean food. It attacks by striking its victims with its wiry fore- arms and by crushing t h e m i n i t s p o w e r f u lj a w s .</t>
  </si>
  <si>
    <t>Operation Overlord P36</t>
  </si>
  <si>
    <t>Zundor</t>
  </si>
  <si>
    <t>Cheyans have thin, long legged bipedal bodies- some biologists have suggested structural similarities between them and long extinct small carnivorous dinosaurs of earth. There legs do appear birdlike, a result of convergent evolution, but their heads and necks are serpentine, with a jaw arrangement that opens very wide to reveal a set of knifelike razor sharp teeth designed for quick tearing. These creatures are pack scavengers, eating carrion, small game, occasional plants, and best known for their habits of steeling prey from larger carnivores. A pack of Cheyanswill surround a carnivore with its prey, and make darting feint attacks to draw its attention. When the carnivore is suitably distracted, some Cheyanswill dash towards the meal and tear off chunks with their razor sharp teeth, run a short distance, and drop the food. They will they return to help their packmates tear off further food. Among known hijackers, they are unique in that they never take all of the original meal from the carnivore that made the kill. This is an element of their survival strategy. They break off the attack with the original carnivore still keeping enough of the food for a minimal meal. The carnivore is left with the choices of eating what it has, or attempting to hunt down the Cheyans and ending up with nothing. They generally take the latter course. Despite their pack strategies, Cheyans are not as adaptable as Terran dogs, and where they have encountered them (in Campobelo, typically) they have lost ground to them. Cheyans are allowed 3 actions per turn instead of two, however, this pace tires them, and if a Cheyan has not obtained some food after 5 rounds it has a 30% chance per round of breaking off an attack. Thereafter, it will have just two actions per round.</t>
  </si>
  <si>
    <t>Nova Ostia - Provincia do Brasil P20</t>
  </si>
  <si>
    <t>Vedeto</t>
  </si>
  <si>
    <t xml:space="preserve">This is the largest creature native to the open country of western Cabralia. It is related to the Gargantacarnado of eastern Cabralia, but is adapted for life in steppes, prairies and open woodlands. Like its cousin, it is a big, bulky animal, and is primarily a peaceful herbivore. Like its cousin, its large throat chamber is used to signal and attract mates. Unlike its cousin, the Ululador does so not by flashing a brilliant red color, but by emitting a loud, multi-tonal wailing cry, a sound something between that emitted by a quartet of harmonious but half-starved coyotes and a set of bagpipes in poor repair. They travel in small herds, spending much of their time grazing, and defending themselves with their tusks, which are similar to those wielded by the Gargantacarnados, except in the case of these beasts, the upper jaw tusks are not mobile. </t>
  </si>
  <si>
    <t>Nova Ostia - Provincia do Brasil P19</t>
  </si>
  <si>
    <t>Cheyan</t>
  </si>
  <si>
    <t>Ululador</t>
  </si>
  <si>
    <t>4D10</t>
  </si>
  <si>
    <t>The dust reaper's range is the Pampa, particularly in the as yet undeveloped regions further away from the rivers of the region. They move from place to place within the swirling low- level air currents found throughout the Pampa, in dust kicked up by it. Subsisting on plant matter, dust reapers have found Terrestrial grains and plants unpalatable for some inexplicable reason, and thusly their range is increasingly being narrowed, as more of the Pampa come under human cultivation. Tiranean grains raised by human farmers, though, are finding dust reapers to be unwelcome pests. Indeed, it is the dust reaper's fondness for a native grass, also edible to humans, that is encouraging the conversion to Terran wheat, corn/maize, and other grains.</t>
  </si>
  <si>
    <t>New Canberra - Australia's Interstellar Heart P51</t>
  </si>
  <si>
    <t>One of the arachnid-like insects filling various niches in Tiranean ecosystems, the deathleaper is unique in its hunting style. With legs having wing-like appendages which are flapped to generate lift, the deathleaper is able to make enormous leaps of up to 5m high to catch avian creatures which are it's main prey. Upon detection, the deathleaper makes it's jump, and sprays it's venom up to one meter away at the intended target, then, as it reaches the top of it's jump, uses it's wing flaps to follow the victim to the ground. Deathleapers wait for their prey in the undergrowth of Duffer's Strip's jungles, using manipulative eystalks to scan above it. Deathleaper poison, while not lethal, will still cause acid-like burns on unprotected human skin.</t>
  </si>
  <si>
    <t>New Canberra - Australia's Interstellar Heart P50</t>
  </si>
  <si>
    <t>Jumbuck</t>
  </si>
  <si>
    <t>6D10</t>
  </si>
  <si>
    <t xml:space="preserve">A deer-like animal, native to New Canberra's flatlands of both the Llano de Tierra Negra and the Pampa, has over the past few decades been domesticated for milk, meat, and eggs. However, unlike similar dranta species found elsewhere on Tirane, the jumbuck has developed a pouch in the underside of the female's body where the eggs are kept until hatching, as opposed to the creatures building nests. This allows jumbucks to live a nomadic, grazing lifestyle, and protects the eggs from drukeys and gattos that may come by. "Jumbuck" comes from the original Australian slang word for "sheep," based on Aboriginal terms for rams and ewes, and was applied to the native fauna as colonists began domesticating them. So, with the slang word for "sheep" now being used to name another creature, what do NovoCanos call actual sheep? Sheep. Will flee rather than attack, but if cornered will kick.
</t>
  </si>
  <si>
    <t>Dust Reaper</t>
  </si>
  <si>
    <t>A bat-like creature with additional fingers at it's "hand," the drukey is found in the southern areas of New Canberra, particularly in the Llano and Nuevas Malvinas regions. Subsisiting on local and introduced Terrestrial fruits, unlike Earth bats drukeys use their manipulative fingers and their legs to grab their food and take it to their nests. Their wings have a strength greater than their terrestrial counterparts to provide extra lift for carrying items as large as cantaloupes. Monotremes like most advanced Tiranean lifeforms, this carrying capacity is necessary to feed hatchlings. Drukeys are particularly interesting to xenobiologists, as they allow the scientists to a link similar to that which might have existed on Earth between bats and birds. However, the apple, pear, and modified peach growers of southern New Canberra find drukeys to be pests, and one of the chores orchard operators face is untangling drukeys from the nets covering the orchards.</t>
  </si>
  <si>
    <t>New Canberra - Australia's Interstellar Heart P49</t>
  </si>
  <si>
    <t>Druqui</t>
  </si>
  <si>
    <t>Gatto</t>
  </si>
  <si>
    <t>While their size may belie it, gattos have a fearsome reputation, due to a special attack form that equalizes it against larger prey. Within their claws is a virulent poison, which causes the victim to convulse and die within ten minutes of injection. The gattos themselves are immune to the poison, which allows them to partake of the kill and which also provide medical scientists to develop an appropriate anti-venin. This protects residents and visitors alike in the gatto's range. Poison will call convulsions upon injection via scratch within five minutes of exposure, and death within ten. Anti-venin, if applied in time, will negate the effect within one minute of treatment.</t>
  </si>
  <si>
    <t>Deathleaper</t>
  </si>
  <si>
    <t>A tall, long legged, long necked, fast running lizard like creature with a bipedal gait, known for its elaborate crests and neck frills. The strutter has a passing resemblance to a naked emu wearing a strange hat. It is primarily an insectivore and will run if threatened, but will kick if it has to. Much like the Terran Meerkat, a group of strutters will post several sentries. If the sentries detect a predator or predator like creature within 25 meters, (Easy, modified by signature of creature) they will make clicking sounds, alarming the whole group, which will have an initiative bonus of 4 that round only. The Strutters will use this round to escape.</t>
  </si>
  <si>
    <t>Tarnder</t>
  </si>
  <si>
    <t>1D6 X 1D6</t>
  </si>
  <si>
    <t>A graceful long legged herbivore of the Dranta species, Tarnders have elaborate bony crests that are used in mating rituals. In defense, they are much better protected by kicks from their strong legs. Most of the time, they will flee an encounter, and very swiftly. During the mating season, Tarnders of both sexes are unusually aggressive. They have 2 attacks per round, with a bonus of 1 to hit, during this time.</t>
  </si>
  <si>
    <t>Weasent</t>
  </si>
  <si>
    <t>The weasent is a long, sinewy, furry predator that seemingly combines the characteristics of a ferret and a boa constrictor. Weasents consume small prey and will never attack an adult human or even a child, although they have injured toddlers and infants. The weasent attacks by looping its long body around its prey. This attack is in addition to its biting attack, and if it succeeds, allows the creature to bite twice per round each round thereafter. This looping attack can also damage small creatures, but never anything larger than 10 kg.</t>
  </si>
  <si>
    <t>Druqui AKA Drukey</t>
  </si>
  <si>
    <t>1D10 + 4</t>
  </si>
  <si>
    <t>Paddlers resemble turtles with no head or shell. The spiny paddler has spines on its back. It is basically a scavenger and normally presents no threat to man, although it will defend itself.</t>
  </si>
  <si>
    <t>Lemanja - Provincia do Brasil P24</t>
  </si>
  <si>
    <t>Spiny Backed Paddler</t>
  </si>
  <si>
    <t>Paddlers resemble turtles with no head or shell. The pebble backed paddler has grainy warty appearing skin on its back. It is basically a scavenger and normally presents no threat to man, although it will defend itself. The meat of the pebble backed paddler is considered a delicacy and harvesting of these creatures is carefully controlled.</t>
  </si>
  <si>
    <t>Tiraguara</t>
  </si>
  <si>
    <t>This tailless quadurped has four powerful clawed webbed feet and strong jaws. I occupies a niche similar to the alligator, although it will rarely attack humans unless provoked (anything a human does in its vicenity is likely to be provocative).</t>
  </si>
  <si>
    <t>Lemanja - Provincia do Brasil P25</t>
  </si>
  <si>
    <t>Porcupig</t>
  </si>
  <si>
    <t>A slow moving spiny herbivore with the size and disposition of a warthog and the natural defense of a porcupine. If bothered, it may waddle away, or stand and fight; it is difficult to predict their reactions. Special: The Porcupig can make one attack per action with a Routine chance, and one attack with an Easy chance against any opponent trying to make physical contact with it.</t>
  </si>
  <si>
    <t>Spines</t>
  </si>
  <si>
    <t>Neu-Tsingtao and the Sudgartne Kreis P24</t>
  </si>
  <si>
    <t>Strutter</t>
  </si>
  <si>
    <t>The skater has adapted to chase prey at high speed across ice and snow. The forelegs have exposed bone strips with are used as runners and the back feet have tine barbs for traction.</t>
  </si>
  <si>
    <t>Preying Roach</t>
  </si>
  <si>
    <t>This animal is common on the plains.</t>
  </si>
  <si>
    <t>French Arm Adventures Mongoose P122</t>
  </si>
  <si>
    <t>Protector</t>
  </si>
  <si>
    <t>This creature is part of a symbiotic relationship with arbors and swarms to protect them.</t>
  </si>
  <si>
    <t>Cuckold Flies</t>
  </si>
  <si>
    <t>Part of a symbiote, these large flying insectoids attack any animal that moves.</t>
  </si>
  <si>
    <t>French Arm Adventures Mongoose P123</t>
  </si>
  <si>
    <t>Housekeeper</t>
  </si>
  <si>
    <t>4D6</t>
  </si>
  <si>
    <t>Part of a symbiote, these creatures feed off the trees they live on and in.</t>
  </si>
  <si>
    <t>Ripper Bug</t>
  </si>
  <si>
    <t>This psuedo-insect is a ground hunter and indiscriminately kills anything that moves.</t>
  </si>
  <si>
    <t>Squirrel Spider</t>
  </si>
  <si>
    <t>This psuedo-spider is part of a symbiote and both nurtures the larvae of the cuckold fly and eats the adults.</t>
  </si>
  <si>
    <t>Troat</t>
  </si>
  <si>
    <t>Apparently distantly related to Arbors (like ape to man), the troat is a hunter, although, like the arbor, also utilizes photosynthesis.</t>
  </si>
  <si>
    <t>Harvester</t>
  </si>
  <si>
    <t>1D2</t>
  </si>
  <si>
    <t>The Harvester moves through cavern chambers and feeds of fungi. This segmented creature has a main 2 meter long segment with the major organs and 8 legs, and depending on how much it has eaten, and 1-8 segments that are essentially only meat and have 4 legs.</t>
  </si>
  <si>
    <t>Grendal</t>
  </si>
  <si>
    <t>Grendalsaga 3 P30</t>
  </si>
  <si>
    <t>Reaper</t>
  </si>
  <si>
    <t>Reapers are nighmarish creaturs with six limbs, the first two of which end in several scything and slashing blades. They primarily hunt harvesters, but some now prey on scavengers and anything else that enters the caverns.</t>
  </si>
  <si>
    <t>Scavenger</t>
  </si>
  <si>
    <t>2D X 100</t>
  </si>
  <si>
    <t>Scavengers eat anything in the caverns that is out of place. They will only eat things that have not moved for five minutes of observation, so dead creatures and other organic matter will then be eaten. They will only defend themselves if attacked and never attack unless cornered.</t>
  </si>
  <si>
    <t>Grendalsaga 3 P31</t>
  </si>
  <si>
    <t>Pebble Backed Paddler</t>
  </si>
  <si>
    <t>Hakenklaue</t>
  </si>
  <si>
    <t>5D6</t>
  </si>
  <si>
    <t>he coyote-sized hakenklaue (hook claw) is distantly- related to the titans. It lacks the serrated beak of its larger relatives, and instead uses the single hook-like talon on its forelimbs to snag prey while on the run. It is a chaser-type predator, and often appears in packs of up to 20 individu- als. As a pack, they are capable of tak- ing down prey much larger than them- selves, and are indiscriminate in what they hunt. The two front “teeth” are actually a modified beak, made of similar kerati- nous material.</t>
  </si>
  <si>
    <t>Vogelheim</t>
  </si>
  <si>
    <t>Colonial Times #6 P52</t>
  </si>
  <si>
    <t>Crunch Shrub</t>
  </si>
  <si>
    <t>Mobile carnivorous plants that scour the ice sheet for food, but also spend a lot of time basking in the sun.</t>
  </si>
  <si>
    <t>DM +17 2611 II</t>
  </si>
  <si>
    <t>French Arm Adventures Mongoose P121</t>
  </si>
  <si>
    <t>Origami Basker</t>
  </si>
  <si>
    <t>6D6 X 10</t>
  </si>
  <si>
    <t>This small animal lives on the edge of the ice fields, migrating with its melt and accumulation during the seasons. It can unfold a sheet of dark colored skin about .5 meter in diameter with the main body residing in the center. The warmth hiats the baskers blood.</t>
  </si>
  <si>
    <t>Skater</t>
  </si>
  <si>
    <t>This is an arnab-doub that has been fed Deep Ginger. Its resulting growth and hormonal changes make it ferocious.</t>
  </si>
  <si>
    <t>Ravver</t>
  </si>
  <si>
    <t>10 X 1D6</t>
  </si>
  <si>
    <t>This reptilian pack predator stands about 3 meters high. They are very aggressive and usually attack anything they see as prey. Their vision is poor, but they are nocturnal so it isn't a handicap. Their hides are armored with a hardened iron oxide paste that they regurgitate and apply to their skin.</t>
  </si>
  <si>
    <t>Highland DM+38 3095</t>
  </si>
  <si>
    <t>Challenge #44 P57</t>
  </si>
  <si>
    <t>Venries</t>
  </si>
  <si>
    <t>A large aquatic animal that fills the role of whales. It feeds on very small sea organisms via filtering and are not harmful to humans except through getting in the way of boats.</t>
  </si>
  <si>
    <t>DM's Choice</t>
  </si>
  <si>
    <t>Challenge #63 P35</t>
  </si>
  <si>
    <t>Flying Chaser - Gargoyle</t>
  </si>
  <si>
    <t>An ape-like creature, they are unafraid of humans, but typically are not threatening. However, if a person is wearing a bright colored shirt, a male may think the human is a female to court.</t>
  </si>
  <si>
    <t>Challenge #72 P65</t>
  </si>
  <si>
    <t>Gatherer - Beta Chimp</t>
  </si>
  <si>
    <t>This creature has bat-like wings, but otherwise looks similar to gargoyle statues, hence the name. It attacks either with its belly spines or its claws. During reproductive season, they will incapacitate prey and implant larvae into it. The gargoyle then piles rocks on the hapless prey and the larvae eat it alive.</t>
  </si>
  <si>
    <t>This is a monosupial resembling a penguin without wings or feet and having a tooth filled beak. It is primarily aquatic in hunting, but can take small animals and birds on land. It's land speed is 40.</t>
  </si>
  <si>
    <t>Chagi</t>
  </si>
  <si>
    <t>This creature resembles a mountain goat and fills the same niche.</t>
  </si>
  <si>
    <t>Campinasur - Provincia do Brasil P23</t>
  </si>
  <si>
    <t>Campobelo Cattle Dog</t>
  </si>
  <si>
    <t>Cattle dog with coyote breeding. Large feral packs roam Campobelo. Normally do not attack people.</t>
  </si>
  <si>
    <t>Campobelo - Provincia do Brasil P17</t>
  </si>
  <si>
    <t>Marerose's Aestivating Paddler</t>
  </si>
  <si>
    <t>The smallest paddler, this one looks lik a headless, shell-less turtle. They aestivate (hibernate) in mud pockets during the dry seasons when the rivers dry up.</t>
  </si>
  <si>
    <t>Tripod anteater</t>
  </si>
  <si>
    <t>This is a monsupial evolved to have a long tongue and its "fingers" into toe pads. It assumes a tripod position with its mouth over an insect den. It is non-threatening to humans, but will defend itself.</t>
  </si>
  <si>
    <t>Plains Wolf</t>
  </si>
  <si>
    <t>Dunkelheim</t>
  </si>
  <si>
    <t>Challenge #35  P35</t>
  </si>
  <si>
    <t>Runner</t>
  </si>
  <si>
    <t>Runners are gatherers and are brown in color and have long scraggly fur. They are small, fist, and hide well among low vegetation. They live in dens that they burrow.</t>
  </si>
  <si>
    <t>Braunbeast</t>
  </si>
  <si>
    <t xml:space="preserve">Travelling in small family herds, Braunbeasts are territorial and often fight each other over grazing land . The animals commonly mass several hun- dred pounds and possess thick, shaggy fur which varies in color from light tan to medium brown . They are very slow to react, but can inflict great injury by butting with their thickly armored heads.
</t>
  </si>
  <si>
    <t>Challenge #35  P36</t>
  </si>
  <si>
    <t>Arnab-doub (Rabbit-bear)</t>
  </si>
  <si>
    <t>A small beast the size of a house cat, this three eyed creature has shaggy fur made of skin tendrils.</t>
  </si>
  <si>
    <t>Daikoku</t>
  </si>
  <si>
    <t>Challenge #36 P44</t>
  </si>
  <si>
    <t>Arnab-doub (Rabbit-bear) modified</t>
  </si>
  <si>
    <t>This is an arnab-doub that has been fed Deep Ginger. Its resulting growth and hormonal changes make it dangerous.</t>
  </si>
  <si>
    <t>Challenge #36 P45</t>
  </si>
  <si>
    <t>Arnab-doub (Rabbit-bear) modified twice</t>
  </si>
  <si>
    <t>Beanstalk P47</t>
  </si>
  <si>
    <t>Blood Monkey</t>
  </si>
  <si>
    <t>Tree dwelling, hunts birds and small animals</t>
  </si>
  <si>
    <t>Buffalope</t>
  </si>
  <si>
    <t>Like a cross between a buffalo and an antelope</t>
  </si>
  <si>
    <t>Fruit teddy</t>
  </si>
  <si>
    <t>Bearlike, have never been seen using their claws; predators avoid them</t>
  </si>
  <si>
    <t>Gobbler</t>
  </si>
  <si>
    <t>Scavenger with very large mouth and very big teeth</t>
  </si>
  <si>
    <t>Minotaur</t>
  </si>
  <si>
    <t>Resembles a small, hornless rhinocerous</t>
  </si>
  <si>
    <t>Night Stalker</t>
  </si>
  <si>
    <t>Big cat-like, hairless nocturnal predator</t>
  </si>
  <si>
    <t>The Noose</t>
  </si>
  <si>
    <t>Snake-like, hangs from tree and strangles, only one attack and then automatic damage</t>
  </si>
  <si>
    <t>Coiso</t>
  </si>
  <si>
    <t>Resembles a walking sea urchin about the size of a beach ball (with 8 little legs). Its "attack" is really its defense: spines.</t>
  </si>
  <si>
    <t>Brazilian Islands - Provincia do Brasil P21</t>
  </si>
  <si>
    <t>Rinn do Sur</t>
  </si>
  <si>
    <t>Aquatic hunter resembles a cross between a dolphin and a shark. It likes to play...with its prey.</t>
  </si>
  <si>
    <t>Brazilian Islands - Provincia do Brasil P22</t>
  </si>
  <si>
    <t>Suzero Oro</t>
  </si>
  <si>
    <t>This avian is similar to the albatross and fills the same niche on Tirane.</t>
  </si>
  <si>
    <t>Monosugrande</t>
  </si>
  <si>
    <t>This snake-like creater actually has two tail "fingers" with which it holds its prey. Note that the arboreal speed of this creature is 110.</t>
  </si>
  <si>
    <t>Cabo Vitorio - Provincia do Brasil P22</t>
  </si>
  <si>
    <t>Gargantcarnado</t>
  </si>
  <si>
    <t>3D6</t>
  </si>
  <si>
    <t>This massive quadruped somewhat resembles a hippopotomus. It attacks with its tusks by swinging its head.</t>
  </si>
  <si>
    <t>Cabo Vitorio - Provincia do Brasil P23</t>
  </si>
  <si>
    <t>Tongue Monkey</t>
  </si>
  <si>
    <t>This creature resembles a monkey, but is fully capable on the ground as well as in trees. This creature is an insectivore and feeds like a bull frog by flicking its 1 meter long tongue out to catch them.They are generally harmless to man, however, they have been known to mistake glitterying/sparkling dangling objects, such as earrings for prey.</t>
  </si>
  <si>
    <t>Polarbuck</t>
  </si>
  <si>
    <t>40-400</t>
  </si>
  <si>
    <t>This quadruped is adapted to cold climates. They butt or kick when defending themselves.</t>
  </si>
  <si>
    <t>Campinasur - Provincia do Brasil P22</t>
  </si>
  <si>
    <t>Tirapingi</t>
  </si>
  <si>
    <t>100-10000</t>
  </si>
  <si>
    <t>Atlas of the French Arm P224</t>
  </si>
  <si>
    <t>Rock Dragon</t>
  </si>
  <si>
    <t>1D3</t>
  </si>
  <si>
    <t>Resembles a small, non-flying dragon. Spits acid.</t>
  </si>
  <si>
    <t>Beowulf</t>
  </si>
  <si>
    <t>Atlas of the French Arm P93</t>
  </si>
  <si>
    <t>Bladehood</t>
  </si>
  <si>
    <t>1D10</t>
  </si>
  <si>
    <t>Vegatation, resembles a mushroom 2-4 meters in height. Attacks by dropping the parasol around prey and slashing/piercing them with blades sheathed in the parasol that are exposed when the parasol drops. The blades are coated in an acidic poison.</t>
  </si>
  <si>
    <t>Creep</t>
  </si>
  <si>
    <t>Rumble</t>
  </si>
  <si>
    <t>Resembles a rug, several meters thick. It feeds by filtering nutrients into its body. It is non-aggressive, but could accidentally crush a person in its path.</t>
  </si>
  <si>
    <t>Aurore Sourcebook P23</t>
  </si>
  <si>
    <t>Auroran Landcrab</t>
  </si>
  <si>
    <t>1D6 X 1D10</t>
  </si>
  <si>
    <t>Reminiscent of horseshoe crabs.</t>
  </si>
  <si>
    <t>Bloodsucker</t>
  </si>
  <si>
    <t>A leech with a sharp-pointed prong held inside its body.</t>
  </si>
  <si>
    <t>Requintueur</t>
  </si>
  <si>
    <t>A sea serpent.</t>
  </si>
  <si>
    <t>Aurore Sourcebook P24</t>
  </si>
  <si>
    <t>Sand Puppy</t>
  </si>
  <si>
    <t>A flat finned invertebrate, believed to be a state of a multiphase life cycle of some larger creature. It's feeding mechanism is kept inside its body until something steps on it, when it springs like a bear trap.</t>
  </si>
  <si>
    <t>Dropper</t>
  </si>
  <si>
    <t>1 (+ reinforcements)</t>
  </si>
  <si>
    <t>A crab-like arboreal predator that literally falls on its prey.</t>
  </si>
  <si>
    <t>Redswift</t>
  </si>
  <si>
    <t>Deer-like.</t>
  </si>
  <si>
    <t>Unnamed Life Form 1</t>
  </si>
  <si>
    <t>A filter-feeder  found on tidal flats and shallow seas. It is only dangerouse to small animals that get sucked through its feeding latices.</t>
  </si>
  <si>
    <t>Aurore Sourcebook P25</t>
  </si>
  <si>
    <t>Unnamed Life Form 2</t>
  </si>
  <si>
    <t>Crab-like.</t>
  </si>
  <si>
    <t>Aurore Sourcebook P26</t>
  </si>
  <si>
    <t>Unnamed Life Form 3</t>
  </si>
  <si>
    <t>Like the Loch Ness Monster.</t>
  </si>
  <si>
    <t>Unnamed Life Form 4</t>
  </si>
  <si>
    <t>A sessile creature found only at low tide on tidal flats, it is harmless to humans and animals larger than a mouse.</t>
  </si>
  <si>
    <t>Unnamed Life Form 5</t>
  </si>
  <si>
    <t>Crab-like hunters.</t>
  </si>
  <si>
    <t>Bounder</t>
  </si>
  <si>
    <t>2D10</t>
  </si>
  <si>
    <t>Antelope-like</t>
  </si>
  <si>
    <t>Beta Canum</t>
  </si>
  <si>
    <t>Beanstalk P46</t>
  </si>
  <si>
    <t>Bush Baby</t>
  </si>
  <si>
    <t>Small pig-like animal</t>
  </si>
  <si>
    <t>Benny</t>
  </si>
  <si>
    <t>Tree dwelling, like a cross between an iquana and a coyote, packs hunt almost anything</t>
  </si>
  <si>
    <t>The Ocean Paddler is another distant member of the Crapaud Tiranais family and is closely related to the fresh water Paddlers found elsewhere on Tirane. The Ocean Paddlers resemble large, shell-less turtles and come in a range of shapes and sizes. However virtually all are extremely palatable to humans (Palestrinas and other animals) and have been heavily fished, many environmentalists are beginning to worry about the viability of the species. Far Northers continue to insist on their right to fish for them however. The Ocean Paddlers are a nomadic species who mate in the Far North before heading down to the west coast of New Albion to lay their eggs in various river deltas, before returning north to begin the cycle again. Baby Paddlers grew to adolescence in the fresh water of the rivers and must face an array of threats and predators before heading off into the oceans and arriving in the breeding grounds as newly mature adults. Ocean Paddlers are immensely long lived creatures which, if they survive, can reach very large sizes.</t>
    <phoneticPr fontId="6" type="noConversion"/>
  </si>
  <si>
    <t>Yes</t>
    <phoneticPr fontId="6" type="noConversion"/>
  </si>
  <si>
    <t>Gobo</t>
  </si>
  <si>
    <t>D10 X100 +D100</t>
  </si>
  <si>
    <t>Fur/Feathers</t>
  </si>
  <si>
    <t>Bat-like, but typically diurnal and with good vision, appears in large swarms, very unpleasant scavengers.</t>
  </si>
  <si>
    <t>Tirane</t>
  </si>
  <si>
    <t>Acre - Provincia do Brasil P20</t>
  </si>
  <si>
    <t>Difficult</t>
  </si>
  <si>
    <t>Gobo, Infertile Female</t>
  </si>
  <si>
    <t>10% of Flock</t>
  </si>
  <si>
    <t>Gobo warrior caste.</t>
  </si>
  <si>
    <t>Routine</t>
  </si>
  <si>
    <t>Wisenta Montana</t>
  </si>
  <si>
    <t>Like a cross between a weasel and a boa constrictor.</t>
  </si>
  <si>
    <t>Military Dog</t>
  </si>
  <si>
    <t>1D4</t>
  </si>
  <si>
    <t>Trained attack/guard dog.</t>
  </si>
  <si>
    <t>Earth</t>
  </si>
  <si>
    <t>ADF FD COM Field Equipment P16</t>
  </si>
  <si>
    <t>Dlynx</t>
  </si>
  <si>
    <t>Cat-like, but cooperates in packs.</t>
  </si>
  <si>
    <t>Athletics, General</t>
  </si>
  <si>
    <t>Atlas of the French Arm P131</t>
  </si>
  <si>
    <t>Stragmat/Creep</t>
  </si>
  <si>
    <t>Resembles a rug, 5-30 cm thick, it secretes acid on the underside.</t>
  </si>
  <si>
    <t>Aurore</t>
  </si>
  <si>
    <t>Atlas of the French Arm P210</t>
  </si>
  <si>
    <t>Titan</t>
  </si>
  <si>
    <t>Giant non-flying bird.</t>
  </si>
  <si>
    <t>Adlerhorst</t>
  </si>
  <si>
    <t xml:space="preserve">The Palestrinas are some of the most photographed and widely known about wildlife of the region. Of the same family as the riverine Crapauds Tiranais, these are creature who stayed in the deep oceans. They fill niches usually the preserve of cetaceans and sharks on Earth and come in a variety of shapes and sizes, but are notable for their lack of fins, streamlined bodies, double flukes and long necks. They are generally omnivorous although some specialise, like the Black Palastrina in Ocean Paddlers or Rinn or the Giant Palastrina with krill like creatures. In any event all Palestrinas are noted for their singing, usually during night-time, which when first heard by fishermen was regarded with superstitious awe. Even today it is a rare person who can hear the alien song of a Palastrina without the hair standing up on the back of their necks.
</t>
    <phoneticPr fontId="6" type="noConversion"/>
  </si>
  <si>
    <t>The Fenris Afanc is a member of the Afanc family found on Storafanc Island and in other parts of the Territories. It is an animal noted by its white coat during the Grandwinter (a trait shared by other Afancs) and its extreme viciousness. The Fenris are unusual in working in packs and in being nomadic rather than territorial, so far it has always responded aggressively to human intrusion into its range. FPK teams studying the Fenris have, after several attempts, abandoned efforts to study the Fenris in-close as their small teams were requiring a fully armed military escort. Instead they use remote drones from an off-shore platform as they attempt to unravel the secret of the Fenris. People are warned away from Storafanc Island, but those who insist on visiting it are warned to be armed and treat every Fenris as a man-eater.</t>
    <phoneticPr fontId="6" type="noConversion"/>
  </si>
  <si>
    <t>The term "Grape" is a misnomer. These creatures will snatch the occasional tasty fruit from easily accessible vines, but they lived in Vinicao long before humans did, and they got along just fine before the introduction of the grape. They are slim, furry quadrupeds, with long skinny necks reminiscent of the Earth Native wading birds such as herons and egrets. Consuming, in addition to fruit, insects, small animals, and young plant shoots, the creature often positions its body for a quick getaway while its head probes for food. Whether their raids damage vineyards or help them by destroying pests has not yet been determined, but is believed that the vineyards have been good for this genus of weasent. Before the arrival of Man, the Long Necked Weasant was confined to the "pocket gardens" formed in the canyons and narrow valleys of Vinicao. Their range has since expended, and there is every indication that human alterations to the land have benefitted this species. Some residents, once of a mind to destroy every grape eating weasent they could find, have since decided that the creatures are a valuable ally to the farmer, filling a role between cat, mongoose, and scarecrow, and have been trying to tame them, with some good results.</t>
    <phoneticPr fontId="6" type="noConversion"/>
  </si>
  <si>
    <t>Bash</t>
    <phoneticPr fontId="6" type="noConversion"/>
  </si>
  <si>
    <t>Crush</t>
    <phoneticPr fontId="6" type="noConversion"/>
  </si>
  <si>
    <t>The C-Squid, named for the shock of the first sighting of this animal, is truly a thing of nightmares. A mass of spines and tentacles, allied with a foul disposition and the ability to jet blinding venom. However the meat at the heart of the creature is a rare delicacy, although who first discovered this is not known, and it is a rare delicacy that fetches a high price. These are usually ocean floor dwellers who ambush other wildlife and are very hard to find, however at certain times on the grandseasons they move en-masse to breading grounds and it is at this time they are most easily harvested. Landing a C-Squid is no easy matter and many a fisherman bears the scars to prove it.</t>
    <phoneticPr fontId="6" type="noConversion"/>
  </si>
  <si>
    <t>The "Rock Swan" is a found along mountainous coasts from Acre to Chapacara. The creature is a true triphibian, capable of flight, swimming underwater, and walking on land, although it is notoriously clumsy at that last pursuit. 9 species are known, differign in size, habitat, and diet. The statistics above are for one of the larger examples, Fodro’s Broad-winged Cisneroca. These species builds nest on steep mountainsides or cliff ledges, and flies many kilometers out to sea in search of schools of fish. They tend to group together in swarms of about 20 to 50 animals before beginning their hunting flight and upon sighting a suitable school of prey, they entire flock will drop into the water and begin eating fish. When sated, they fly back to their nests, and regurgitate a portion of their meal for their young, as well as pregnant Cisnerocas that did not make the flight. The Cisneroca is warm blooded and gives birth to live young, but shows no other strictures that would classify it as a mammal, and some structures that would seem to disqualify it, such as its birdlike body and lack of hair- the fine fur on the creatures body is not true hair, but the fringe-like fibres growing from the creature’s almost vestigial scales.</t>
    <phoneticPr fontId="6" type="noConversion"/>
  </si>
  <si>
    <t xml:space="preserve">This is a small, quadruped, very agile carnivore. The Meninoro can move around the most formidable mountain terrain with ease, and is notoriously clever. Generally, they travel in packs. Often, they’ve been known to intrude into human range land (or has human range land intruded into Meninoro habitat?) and attack human livestock. They are inquisitive creatures, and they have also been known to enter human vehicles and dwellings, to explore and make a mess of the place. They often take things from houses or vehicles, and carry them back to their dens for no apparent reasons. Even if they can’t gain entry to houses or vehicles, they have been known to carry off interesting items left outdoors. They avoid humans, despite their extreme interest in human artifacts.
</t>
    <phoneticPr fontId="6" type="noConversion"/>
  </si>
  <si>
    <t xml:space="preserve">Similar to the jumbuck of New Canberra, dranta-kwos live in large herds in the rocky Sierra Cascadias, where they are able to protect their eggs in large nests. Four-legged monotremes, or egg-laying mammals, like their New Canberran counterparts, they are highly prized by Native American groups who use them for their eggs, milk, meat, and thick, furry hides. Efforts to domesticate them, however, have proven difficult, as the shock of captivity prevents wild dranta- kwo's from laying eggs or producing milk. What domestic breeds exist have come from years of stealing eggs from existing nests and hand-raising young. Currently, though, there are sufficient dranta-kwos to begin a viable commercial industry. Examples up to 1.6m tall have been found, but the domestic breeds seldom get larger than 1.4m tall.
</t>
    <phoneticPr fontId="6" type="noConversion"/>
  </si>
  <si>
    <t>A cold-blooded creature similar to Terrestrial snakes, the monusupia is found in the Liberty Point region and the tropical islands surrounding it. A monusupia will have two 30cm "fingers" at the end of its body, which have a grip strength that belie their dexterity. These are used in catching prey. Using the fingers and its jaw, a monusupia moves by swinging itself from branch to branch in the jungles of southern Tirania. "Monu's" have an odd mythology attached to them, especially in terms of fingers clamping one's leg while it strikes the jugular. However, this mythology is often meant to tease newcomers and tourists, as monusupias often flee when larger creatures are about.</t>
    <phoneticPr fontId="6" type="noConversion"/>
  </si>
  <si>
    <t>The Rockat is a member of the Tiracat family resembling a small, thinner Redkat. They are scavengers and resided originally on the Djebel and the outer edge of the Blight and traditionally preyed on Rockjumpers. Although not normally dangerous to humans they can attack if cornered or starving. Rockats were hunted extensively in the early years to protect the grazing animals on the djebel and surviving packs were forced into the Blight. Some individuals were forced into the city and so-called 'urban rockats' are blamed for many misfortunes.</t>
    <phoneticPr fontId="6" type="noConversion"/>
  </si>
  <si>
    <t>Rockjumpers are members of the Dranta family and are found along the coastline of the Golden Bay. Small, fleet-footed and robust they are grazers who live on the blue-green vegetation found on the Djebel. They are inquisitive, territorial and if possible even more foul tempered than the capras that share their grazing areas. Rockjumpers are renowned for their ability to travel almost anywhere and it is not uncommon for climbers on the Djebel to come face-to-face with Rockjumpers on even the sheerest rock faces. With the influx of capras and the suppression of the Rockat, their traditional predator, the Rockjumper has proliferated and become something of a menace. Indeed many people in the city have found their roof top gardens made of meal of by itinerant Rockjumpers. Whilst farming Rockjumpers has proved impractical they are occasionally culled, their meat tastes remarkably like bacon.</t>
    <phoneticPr fontId="6" type="noConversion"/>
  </si>
  <si>
    <t>Cruitays also live in the jungles of the Liberty Point region and nearby islands, and fill an odd niche between plant and animal. Immobile and often hidden in benign fungi and mosses of the region's rainforests, as a result of hiding cruitays require additional nutritional supplement. So, like a large venus flytrap, it captures and consumes the creatures that inhabit the jungles treetrunks and branches, often monusupias. Seldom do limbes cruitays exist on ground level.</t>
    <phoneticPr fontId="6" type="noConversion"/>
  </si>
  <si>
    <t>1D6 X 1D10</t>
    <phoneticPr fontId="6" type="noConversion"/>
  </si>
  <si>
    <t>Aggressive</t>
    <phoneticPr fontId="6" type="noConversion"/>
  </si>
  <si>
    <t>Exoskeleton</t>
    <phoneticPr fontId="6" type="noConversion"/>
  </si>
  <si>
    <t>6D10</t>
    <phoneticPr fontId="6" type="noConversion"/>
  </si>
  <si>
    <t>Non-threatening</t>
    <phoneticPr fontId="6" type="noConversion"/>
  </si>
  <si>
    <t>Yes</t>
    <phoneticPr fontId="6" type="noConversion"/>
  </si>
  <si>
    <t>The minotaur is one of the larger members of the Dranta family and are known as massaudes in Nouvelle Provence and are akin to Terran rhinoceros. They can grow up to four metres and length and weigh an impressive 2 tonnes thanks to their thick armoured skin. The name comes from their heavily muscled shoulders, thick set necks and horned heads. They range up to the Cam Valley and North Albion Plain but in Southlands are found in family groups of up to 20 individuals and as they have not been actively hunted are found in great numbers. However the Hispanic people of the south eastern Northwall have taken to fighting these creatures in bull-rings. An enraged minotaur is not to be trifled with and a system involving four man teams armed with spears has been developed to fight the minotaur.</t>
    <phoneticPr fontId="6" type="noConversion"/>
  </si>
  <si>
    <t>A small, member of the Tiranean arachnoform family the Silk Spider is found in caves on the djebel. It dwells within a cocoon of self-extruded silk like material, emerging at night to devour small insects. The delicate silk, when treated and woven makes a distinctively coloured light but hard wearing fabric. Attempts to replicate the fabric or farm the Silk Spider commercially have failed and the only reliable way of harvesting the cocoons is to gather them from the caves at night. Obviously this results in the material being in very short supply and is expensive, consequently it is much in demand in the fashion boutiques on Main Road. Harvesting is tightly regulated to ensure the survival, and profitability of the industry.</t>
    <phoneticPr fontId="6" type="noConversion"/>
  </si>
  <si>
    <t>Croppers are one of the most intriguing of Wellonese species, sharing characteristics of the Arcadian Demi but having fur patterning not unlike that of a Terran zebra (although colours vary). They come in a variety of different sub-species, but all tend to feed from the upper reaches of trees although the smaller croppers are omnivorous and rather more aggressive. The larger sub-species reach some 3 metres but all have long counter- weighting tails, long flexible necks and narrow almost bird-like faces. They travel on their strong rear legs and have vestigial front limbs and can move with great speed and agility when needed.
Croppers are not good eating, but when processed make passable animal feed, their skin makes an excellent and distinctive leather. The vast numbers of croppers on the plains makes herding and farming them financially viable. The 'Serai have long used croppers as beasts of burden and occasionally riding animals, more commonly they are used as racing animals today.</t>
    <phoneticPr fontId="6" type="noConversion"/>
  </si>
  <si>
    <t>The Golden Rinn are the form of Rinn found in the Golden Bay. The Golden Rinn are larger and more aggressive than the common Rinn. Notable for their grey and yellow colouring they are often found close inshore and there are daily tourist trips into the bay to watch them. The males are extremely protective of their pods and feeding territories and duelling between males is common. These spectacular fights, half-in and half-out of the water are rarely fatal but some encounters can be. Swimming with these creatures is definitely not recommended. The Golden Rinn are not semi-amphibious like the common Rinn and concentrate on aquatic fish-form foods. They are one of the symbols of the Sultanate.</t>
    <phoneticPr fontId="6" type="noConversion"/>
  </si>
  <si>
    <t>The Tiracamel is a member of the Dranta family like the Jumbuck of New Canberra, but one that has adapted to life in the arid parts of Tirane. It has longer legs and a large fat deposit under its belly, and can be found migrating between the oasis areas of the Blight. Its desert dwelling lifestyle gave it it's name, but it has a much more placid disposition than its bad tempered Terran counterpart.</t>
    <phoneticPr fontId="6" type="noConversion"/>
  </si>
  <si>
    <t>These are small breed of Croppers who are also found in the Southlands and other parts of Wellon. They are fast moving creature with long tail and neck which although omnivorous usually feeds on fruits from the trees. The Forest Croppers usually move in packs and are prey to a variety of Kats and Treens. Several people have been killed whilst walking in the forests by stampeding packs of Forest Croppers.</t>
    <phoneticPr fontId="6" type="noConversion"/>
  </si>
  <si>
    <t>Whilst the Greerlion is the most famous Tiracat species on the plains the most dangerous is undoubtedly the grasskat. A solitary killer the grasskat combines characteristics of Terran leopards and cheetahs. It is both exceptionally fast and cunning, capable of ambush attacks and has extremely poisonous claws. It is capable of attacking much larger animals than itself and has been known to attack humans, the sound of a grasskat sniffing around a human camp has caused many sleepless nights. Thankfully the grasskats are nearly as unfriendly to each other as other creatures and their reproduction rate is very low. The grasskat is treated with great respect by all who work out on the plains.</t>
    <phoneticPr fontId="6" type="noConversion"/>
  </si>
  <si>
    <t>The Rinn is an aquatic creature found around the shores of Wellon in a variety of sub-species. It seems to have followed a similar evolutionary track as Terran dolphins to which they bear a passing resemblance. However whilst the display some of the playfulness of their Terran counter-parts they also display some of the characteristics of the shark. Human ship wreck victims have reported being attacks by pods of Rinn where these animals will 'play' with the humans rushing in to attack and circling before attacking again. In some instances life rafts have been overturned by attacking Rinn.
The most commonly seen Rinn are those that are seen around the shores, feeding on the aquatic life found there. The University of New Capetown has been responsible for most of the basic research done on this subject, predominantly by studying the many Rinn of the Golden Bay. However other species of Rinn have been found much further out in the oceans, but much less is known about these. Another large relative of the Rinn has also been sighted in Arctic waters. The much smaller Delta Rinn has been seen surprisingly large distances up the Cam river, but have been dying out due to human fishing in this environment.
The coastal Rinn are gregarious, birthing their young live which are raised by the core (female) pod. Whilst the male Rinn tend to orbit around the core group, returning every day or so. Rinn have been seen leaving the water for prolonged periods of time, (up to an hour) using their muscular fins to drag themselves. They normally do this to scavenge a carcass or raid bird nests, but are not true amphibians and are very unwieldy out of water.</t>
    <phoneticPr fontId="6" type="noConversion"/>
  </si>
  <si>
    <t>The Redkat is Wellon's adopted symbol, a snarling redkat features on the RWAF and RWN Fleet Air Arm roundel. Originally discovered by an Afrikaans speaking researcher with the BACS who named it after the rooikat of his homeland (and soon transliterated to redkat). The redkat is a wolf-sized carnivore and member of the Tiracat family which is found in the northern zones of the Tiralbion and the other Tiranean continents.
Unlike the Greerlion the Redkats are largely solitary animals and are renowned for their intelligence, stubbornness and ferocity when cornered. Its dogged defence of its own kills and territory against the far larger Afanc soon earned it the admiration of the researchers of the BACS and people who lived in the area alongside it. Some Redkats have been tamed after being raised from birth, however the independent nature of the beast has never successfully been curbed.</t>
    <phoneticPr fontId="6" type="noConversion"/>
  </si>
  <si>
    <t>Poison</t>
    <phoneticPr fontId="6" type="noConversion"/>
  </si>
  <si>
    <t>Aggressive</t>
    <phoneticPr fontId="6" type="noConversion"/>
  </si>
  <si>
    <t>Carnivore</t>
    <phoneticPr fontId="6" type="noConversion"/>
  </si>
  <si>
    <t>The Koevoet Devil holds a place in Wellon mythology not unlike that of the Great White Shark does on Earth, that of a mysterious, implacable killer. The Koevoet Devil was first discovered in the Koevoet Desert by a small FPK exploration team and resulted in the death of three of the teams members. The survivor managed to kill the Devil, the badly shaken Afrikaans speaking guide responded later that you wouldn't get him back into that desert with a crowbar (Koevoet). Which gave its name to both the area of desert and the animal. Perhaps luckily the animal has never been found outside the Koevoet Desert area. The Koevoet Devil has proved notoriously difficult to track down and classify, one BBC wildlife camera crew having disappeared in its attempts to film this animal. The Devil appears to prey on the Tiracamel of the region, generally by hiding itself under the sand and then attacking violently with poisoned claws and teeth. The animal seems to be related to the Tiracat family, except being much larger and hairless. Conjecture has it that the animal has incredibly acute ability to smell moisture over large distances. There are also rumours that in Big Game Hunter circles the head of a Koevoet Devil is greatly sought after.</t>
    <phoneticPr fontId="6" type="noConversion"/>
  </si>
  <si>
    <t>The Reynard is a much smaller member of the same family as the Afanc, and shares some of that animals viciousness when cornered as well as its amphibious lifestyle. However the Reynard tends to live in riverbank sets and has a much larger range, being found throughout Wellon to the north of the Blight. The Reynard has gained a reputation for savaging smaller human livestock and pets as well as attacking human children on rare occasions. Consequently the Reynard is much hunted, both by trapping and shooting, but also with Horse and Hounds.</t>
    <phoneticPr fontId="6" type="noConversion"/>
  </si>
  <si>
    <t>Ram</t>
    <phoneticPr fontId="6" type="noConversion"/>
  </si>
  <si>
    <t>The Hellkat is smaller and rarer than the better known Wellonese Tiracats, but what it lacks in body mass it makes up for in bad attitude. Found in the Pendragons and the wooded hills around Narvik, the Hellkat has been described as looking like a Redkat on steroids. Although typically somewhat smaller than a Redkat, the Hellkat is noticeably more heavily developed across the shoulders and at first glance many people are misled into believing they are confronting a much larger animal. The Hellkat is technically a hunter, but typically prefers to launch close- range attacks from concealment. Pairs mate for life and a mature pair can demonstrate almost supernatural coordination in their hunting.
Redkats and Afancs will not willingly share territory, but the Hellkat seems to have taken the Tiracat emnity with the Beaver-Bears to new heights. Hellkats have actually been observed undermining Afanc dams and the confrontations that result will usually not stop until one side or the other has sustained serious injuries. Field zoologists from the FPK have recorded individual territories in the Eastern Pendragons switching repeatedly back and forth from Afanc to Hellkat control as individuals of each species grow to maturity and then age. Unfortunately the Hellkat's bad attitude extends to other creatures than the Afanc and a noticeable percentage of reported Afanc attacks on humans have turned out to be Hellkat attacks when the claw patterns and other forensic evidence have been examined. Tiranean taxonomists are split over the Hellkat, a major segment hold that it is a subspecies of Redkat and should be named 'Tirachat Wellonicus Robustus', whereas the majority, backed by the geneticists, hold it to be a species in its own right, preferring the name 'Tirachat Infernalis'</t>
    <phoneticPr fontId="6" type="noConversion"/>
  </si>
  <si>
    <t>The Greerlion is largest of the Tiracat family found on Wellon (although the Koevoet Devil and Redkat come close) and is found in the Savannah regions to the north of the Blight. It is easily distinguished by the large tufted ears and black main sported by the male Greerlions. Greerlion society is rigidly matriarchal with the Alpha female ruling over a pride of males and lesser females. Prides also have a hierarchy especially as some are run by the offspring of a senior Alpha female. Greerlions are not particularly territorial and some evidence of co-operation between related prides during times of scarcity of food have been observed. However conflicts between individual prides can often escalate and come to involve related prides in the area, but are usually soon resolved.
Greerlions normally feed on members of the Dranta family, and only on rare occasion have they attacked Terran cattle. It is believed that Greerlion find them generally unpalatable, and it should be noted that the Greerlion is not poisonous like the smaller Gatto (known as a Kat in Wellon as 'a Gatto is a cake!'.) The Greerlion's lack of territoriality extends to generally ignoring humans passing through its range, although one male will normally trail the party. Whatever the reason for this behaviour it allows human researchers close access to study this remarkable animal.</t>
    <phoneticPr fontId="6" type="noConversion"/>
  </si>
  <si>
    <t>This animal is the Wellonic equivalent of the elephantine Gargantacarnado found in Provincia do Brasil, its main difference is that it is slightly smaller than its southern cousin. It is primarily found in the New Albion Rain Forests, where it coexists relatively peacefully with human colonists. Although the ease with which the animal has accepted the human presence has not been reciprocated, as these animals frequently wander through human settlements especially during the mating season. It is not always easy getting to sleep with a love-sick Gnonose bellowing its calls outside your window. The Gnonose has also adapted peacefully to the introduction of Terran pachyderms into its ranges in the Livingstone Peninsular.
In addition to the Common Gnonose, there are two other types of Gnonose found on Wellon. The giant and majestic Grey Gnonose is found on Rijder's Island, and has a highly developed hierarchical society. The much smaller solitary Forest Gnonose has been discovered in some of the woodlands around the North Albion Plain. This animal is quite rare and is only found in any numbers in the Yellow Forest area.</t>
    <phoneticPr fontId="6" type="noConversion"/>
  </si>
  <si>
    <t>Trample</t>
    <phoneticPr fontId="6" type="noConversion"/>
  </si>
  <si>
    <t>Herbivore</t>
    <phoneticPr fontId="6" type="noConversion"/>
  </si>
  <si>
    <t>3D6</t>
    <phoneticPr fontId="6" type="noConversion"/>
  </si>
  <si>
    <t>Heavy Hide</t>
    <phoneticPr fontId="6" type="noConversion"/>
  </si>
  <si>
    <t>2D6</t>
    <phoneticPr fontId="6" type="noConversion"/>
  </si>
  <si>
    <t>Dangerous</t>
    <phoneticPr fontId="6" type="noConversion"/>
  </si>
  <si>
    <t>Routine</t>
    <phoneticPr fontId="6" type="noConversion"/>
  </si>
  <si>
    <t>Herbivore</t>
    <phoneticPr fontId="6" type="noConversion"/>
  </si>
  <si>
    <t>2D10</t>
    <phoneticPr fontId="6" type="noConversion"/>
  </si>
  <si>
    <t>Non-threatening</t>
    <phoneticPr fontId="6" type="noConversion"/>
  </si>
  <si>
    <t>Difficult</t>
    <phoneticPr fontId="6" type="noConversion"/>
  </si>
  <si>
    <t>Light Hide</t>
    <phoneticPr fontId="6" type="noConversion"/>
  </si>
  <si>
    <t>Bite</t>
    <phoneticPr fontId="6" type="noConversion"/>
  </si>
  <si>
    <t>Carnivore</t>
    <phoneticPr fontId="6" type="noConversion"/>
  </si>
  <si>
    <t>1D10</t>
    <phoneticPr fontId="6" type="noConversion"/>
  </si>
  <si>
    <t>Ferocious</t>
    <phoneticPr fontId="6" type="noConversion"/>
  </si>
  <si>
    <t>Easy</t>
    <phoneticPr fontId="6" type="noConversion"/>
  </si>
  <si>
    <t>Fur/Feathers</t>
    <phoneticPr fontId="6" type="noConversion"/>
  </si>
  <si>
    <t>Claw</t>
    <phoneticPr fontId="6" type="noConversion"/>
  </si>
  <si>
    <t>Omnivore</t>
    <phoneticPr fontId="6" type="noConversion"/>
  </si>
  <si>
    <t>Routine</t>
    <phoneticPr fontId="6" type="noConversion"/>
  </si>
  <si>
    <t>The Bayard is a large, omnivorous quadruped of the Dranta group. It can be found in herds in the Savannah north of the Blight and on the North Albion Plain. Whilst normally a grazing animal it will also happily scavenge from kills from other animals. The spirited Bayard has a fearsome kick which along with its speed and endurance make it a rare victim of predators.</t>
    <phoneticPr fontId="6" type="noConversion"/>
  </si>
  <si>
    <t>Kick</t>
    <phoneticPr fontId="6" type="noConversion"/>
  </si>
  <si>
    <t>The bizarre "Alpine Rock Shrimp" were common in the region when the settlement began, but have become rare in many areas, and have vanished entirely from others. Their numbers still decrease steadily. Part of this dramatic species loss is due to a raging epidemic brought about by Earth microorganisms. The poor little creatures seem to have now ability to fight off Earth-native yeasts, which appear to find the animal quite tasty. Unfortunately, humans and their pets find the Camairicos tasty as well, and collection for consumption has finished off what the epidemic began near many human settlements. (Properly cooked, even an infected Camairico poses no threat to humans when eaten, and handling an infected creature is safe.)
The camairico is about the size and weight of a Terrestrial Guinea pig, with a rough gray covering making a sort of leathery carapace ending in a strong tail, composed of a stiffened, strengthened section of the same material as the carapace. The tail, which reminds many of the tails of shrimp, is used for digging, and as it wears down it is replaced by freshly growing material from the creature’s back. It crawls among the rocky slopes at high altitudes, scraping Tiranian simple plants equivalent to Earth’s lichens, mosses, and algaes from rock surfaces with two sets of unique tandem tongues. The creature is a speedy burrower, using a burrow for rest, egg laying, and escape. The Camaraico actually has to burrow into rocky ground, or the tail will continue to grow. Burrowing wears the tail down. Specimens in zoos have been known to grow tails so large the creatures could not walk. Where the animals cannot be housed with ground in which they can burrow, zookeepers must frequently trim the tail. This does not harm the creature- it is akin to cutting human finger nails. Once burrowed in, a Camairico reverses itself, placing the strong, sharp tail closes to the entrance of the burrow. Predatory Wisentas Pradoas will often dig them out by excavating parallel tunnels.
Humans generally find the creatures very edible, and the Camairico is one of the reasons why remote settlements and recluses have been able to survive in the brutal mountain terrain of Sera do Prado. Ecologists are concerned that the loss of the Camairico will upset delicate alpine ecosystems as other animals that depended on the Camairico for food also decline. This has already been seen in some areas. Not only have stocks of other native animals fell, but the simple plants which the Camairicos ate have spread, coating come rock surfaces with a greenish brown fuzz.</t>
    <phoneticPr fontId="6" type="noConversion"/>
  </si>
  <si>
    <t>This is the smallest in the Weasent, family, and apparently evolved from the Wisenta Montana. It’s niche is more specialized, and it is a burrowing predator, seeking out insects, worms, and small burrowing prey, in a addition to being a capable scavenger. The Sharp "shovel teeth" that allow the animal to dig also give the small animal the ability to cause wounds far in excess of its size, however, they will attack humans only in extremis. Their chief threat is based in their inquisitiveness. They will investigate strange objects left on the ground at night, entering vehicles as well as chewing their way into packs, sleeping bags, etc. They will often bite when startled, then run. Females give birth to a brood of up to eight simultaneously, but no more than six generally survive until adulthood. This brood stays together throughout their adult life. They do not mate amongst themselves, but mate with members of other broods when broods encounter each other during the mating season. This "pack" strategy helps them survive in an inhospitable environment. Brood members assist in rearing of young, digging of burrows, and watching for danger, like terrestrial prairie dogs, but also hunt together, like terrestrial wolves. Lone animals will not join another brood, unless they are fortunate enough to come across one composed of siblings. In this way, a brood will often be larger than a single birthing’s worth of animals.
In some areas, the ranges of the Wisenta Pradoa and the Wisenta Montana overlap. The two species diverged, most likely, several million years ago and are now competitors, since the upper end of suitable prey for the Pradoas includes the lower end of suitable prey for Montanas.</t>
    <phoneticPr fontId="6" type="noConversion"/>
  </si>
  <si>
    <t xml:space="preserve">Chameleon roaches are similar in size and appearance to their terrestrial counterparts, yet have the unique ability to change color as necessary to avoid detection by leckos (see below) and others who wish to kill them. Thanks to the chameleon roach, the terrestrial variety has been prevented from gaining a foothold on Saint Tyraine. Unfortunately, the local variety is just as despised if not more so due to their color-changing ability. Normal pesticides do work, but most Saint Tyraineans keep leckos in their homes instead.
</t>
    <phoneticPr fontId="6" type="noConversion"/>
  </si>
  <si>
    <t>Leckos are lizard-like creatures with six legs and a forked tail that have voracious appetites for any insect-like creature. Using a powerful sense of smell, they can find chameleon roaches that humans miss. As a result, humans keep leckos in their homes to keep pests to a minimum. In fact, at times leckos can be so successful that their human keepers must let some insects in to keep them fed. Dead insects don’t work; their meal must be alive before a lecko will consider eating it.</t>
    <phoneticPr fontId="6" type="noConversion"/>
  </si>
  <si>
    <t>A brightly colored bird of prey with a 1m wingspan, screechers are named for their distinctive sound. In fact, one of the major drawbacks to a quiet nap in the hills of Nesta’s Cay is the cacaphony of screechers seeking either each other or their next meal. Fortunately for the screechers the aren’t nocturnal- otherwise there’d be many Saint Tyraineans willing to exterminate the entire species for a good night’s sleep. Still, despite their cries screechers are beautiful birds, and they do help keep the introduced rodent population to a minimum.</t>
    <phoneticPr fontId="6" type="noConversion"/>
  </si>
  <si>
    <t>The Harvester moves through cavern chambers and feeds of fungi. This segmented creature has a main 2 meter long segment with the major organs and 8 legs, and depending on how much it has eaten, and 1-8 segments that are essentially only meat and have 4 legs.</t>
    <phoneticPr fontId="6" type="noConversion"/>
  </si>
  <si>
    <t>Mobile carnivorous plants that scour the ice sheet for food, but also spend a lot of time basking in the sun.</t>
    <phoneticPr fontId="6" type="noConversion"/>
  </si>
  <si>
    <t>This small animal lives on the edge of the ice fields, migrating with its melt and accumulation during the seasons. It can unfold a sheet of dark colored skin about .5 meter in diameter with the main body residing in the center. The warmth hiats the baskers blood.</t>
    <phoneticPr fontId="6" type="noConversion"/>
  </si>
  <si>
    <t>No Stats</t>
    <phoneticPr fontId="6" type="noConversion"/>
  </si>
  <si>
    <t>No Stats</t>
    <phoneticPr fontId="6" type="noConversion"/>
  </si>
  <si>
    <t>The local example of Tirane’s Hydrophyla taxonomic division, this consists of clusters of single-celled organisms which wash up on Saint Tyraine’s beaches. As the original "Jumpers" of Saint Tyraine were unclear as to what was and wasn’t edible in the archipelago, the "green stuff" eventually formed the basis of their diet. While having a lesser concentration of the vitamins and minerals of Earth’s seaweed and kelp, nonetheless green stuff is edible, if almost totally unpalatable. One factor keeping processed "green stuff" on store shelves is a perceived aphrodisiac effect held by many in Saint Tyraine to be true.</t>
    <phoneticPr fontId="6" type="noConversion"/>
  </si>
  <si>
    <t>This tailless quadurped has four powerful clawed webbed feet and strong jaws. I occupies a niche similar to the alligator, although it will rarely attack humans unless provoked (anything a human does in its vicenity is likely to be provocative).</t>
    <phoneticPr fontId="6" type="noConversion"/>
  </si>
  <si>
    <t>100-1000</t>
    <phoneticPr fontId="6" type="noConversion"/>
  </si>
  <si>
    <t>The feimarmon is another monsupial and looks like a snake with two "fingers" on its tail. The feimarmon occupies a niche that would be filled by iguanas and seals. Its aquatic movement is 70.</t>
    <phoneticPr fontId="6" type="noConversion"/>
  </si>
  <si>
    <t>This is a monsupial evolved to have a long tongue and its "fingers" into toe pads. It assumes a tripod position with its mouth over an insect den. It is non-threatening to humans, but will defend itself.</t>
    <phoneticPr fontId="6" type="noConversion"/>
  </si>
  <si>
    <t>Herbivore</t>
    <phoneticPr fontId="6" type="noConversion"/>
  </si>
  <si>
    <t>Reapers are nighmarish creaturs with six limbs, the first two of which end in several scything and slashing blades. They primarily hunt harvesters, but some now prey on scavengers and anything else that enters the caverns.</t>
    <phoneticPr fontId="6" type="noConversion"/>
  </si>
  <si>
    <t>2D X 100</t>
    <phoneticPr fontId="6" type="noConversion"/>
  </si>
  <si>
    <t>Scavengers eat anything in the caverns that is out of place. They will only eat things that have not moved for five minutes of observation, so dead creatures and other organic matter will then be eaten. They will only defend themselves if attacked and never attack unless cornered.</t>
    <phoneticPr fontId="6" type="noConversion"/>
  </si>
  <si>
    <t>Non-threatening</t>
    <phoneticPr fontId="6" type="noConversion"/>
  </si>
  <si>
    <t>Difficult</t>
    <phoneticPr fontId="6" type="noConversion"/>
  </si>
  <si>
    <t>Part of a symbiote, these creatures feed off the trees they live on and in.</t>
    <phoneticPr fontId="6" type="noConversion"/>
  </si>
  <si>
    <t>Apparently distantly related to Arbors (like ape to man), the troat is a hunter, although, like the arbor, also utilizes photosynthesis.</t>
    <phoneticPr fontId="6" type="noConversion"/>
  </si>
  <si>
    <t>This psuedo-insect is a ground hunter and indiscriminately kills anything that moves.</t>
    <phoneticPr fontId="6" type="noConversion"/>
  </si>
  <si>
    <t>This psuedo-spider is part of a symbiote and both nurtures the larvae of the cuckold fly and eats the adults.</t>
    <phoneticPr fontId="6" type="noConversion"/>
  </si>
  <si>
    <t>Talon</t>
    <phoneticPr fontId="6" type="noConversion"/>
  </si>
  <si>
    <t>Bash</t>
    <phoneticPr fontId="6" type="noConversion"/>
  </si>
  <si>
    <t>Crush</t>
    <phoneticPr fontId="6" type="noConversion"/>
  </si>
  <si>
    <t>Yes</t>
    <phoneticPr fontId="6" type="noConversion"/>
  </si>
  <si>
    <t>Yes</t>
    <phoneticPr fontId="6" type="noConversion"/>
  </si>
  <si>
    <t>1D2</t>
    <phoneticPr fontId="6" type="noConversion"/>
  </si>
  <si>
    <t>Light Hide</t>
    <phoneticPr fontId="6" type="noConversion"/>
  </si>
  <si>
    <t>This creature resembles a mountain goat and fills the same niche.</t>
    <phoneticPr fontId="6" type="noConversion"/>
  </si>
  <si>
    <t>Kick</t>
    <phoneticPr fontId="6" type="noConversion"/>
  </si>
  <si>
    <t>A filter-feeder  found on tidal flats and shallow seas. It is only dangerouse to small animals that get sucked through its feeding latices.</t>
    <phoneticPr fontId="6" type="noConversion"/>
  </si>
  <si>
    <t>Crab-like.</t>
    <phoneticPr fontId="6" type="noConversion"/>
  </si>
  <si>
    <t>Like the Loch Ness Monster.</t>
    <phoneticPr fontId="6" type="noConversion"/>
  </si>
  <si>
    <t>A sessile creature found only at low tide on tidal flats, it is harmless to humans and animals larger than a mouse.</t>
    <phoneticPr fontId="6" type="noConversion"/>
  </si>
  <si>
    <t>Crab-like hunters.</t>
    <phoneticPr fontId="6" type="noConversion"/>
  </si>
  <si>
    <t>Resembles a walking sea urchin about the size of a beach ball (with 8 little legs). Its "attack" is really its defense: spines.</t>
    <phoneticPr fontId="6" type="noConversion"/>
  </si>
  <si>
    <t>Horn</t>
    <phoneticPr fontId="6" type="noConversion"/>
  </si>
  <si>
    <t>2D6</t>
    <phoneticPr fontId="6" type="noConversion"/>
  </si>
  <si>
    <t>Aquatic hunter resembles a cross between a dolphin and a shark. It likes to play...with its prey.</t>
    <phoneticPr fontId="6" type="noConversion"/>
  </si>
  <si>
    <t>Carnivore</t>
    <phoneticPr fontId="6" type="noConversion"/>
  </si>
  <si>
    <t>The skater has adapted to chase prey at high speed across ice and snow. The forelegs have exposed bone strips with are used as runners and the back feet have tine barbs for traction.</t>
    <phoneticPr fontId="6" type="noConversion"/>
  </si>
  <si>
    <t>Bite</t>
    <phoneticPr fontId="6" type="noConversion"/>
  </si>
  <si>
    <t>Claw</t>
    <phoneticPr fontId="6" type="noConversion"/>
  </si>
  <si>
    <t>Claw</t>
    <phoneticPr fontId="6" type="noConversion"/>
  </si>
  <si>
    <t>Claw</t>
    <phoneticPr fontId="6" type="noConversion"/>
  </si>
  <si>
    <t>Wilderness Survival</t>
    <phoneticPr fontId="6" type="noConversion"/>
  </si>
  <si>
    <t>Omnivore</t>
    <phoneticPr fontId="6" type="noConversion"/>
  </si>
  <si>
    <t>1D6</t>
    <phoneticPr fontId="6" type="noConversion"/>
  </si>
  <si>
    <t>Exoskeleton</t>
    <phoneticPr fontId="6" type="noConversion"/>
  </si>
  <si>
    <t>This animal is common on the plains.</t>
    <phoneticPr fontId="6" type="noConversion"/>
  </si>
  <si>
    <t>This creature is part of a symbiotic relationship with arbors and swarms to protect them.</t>
    <phoneticPr fontId="6" type="noConversion"/>
  </si>
  <si>
    <t>Bash</t>
    <phoneticPr fontId="6" type="noConversion"/>
  </si>
  <si>
    <t>4D6</t>
    <phoneticPr fontId="6" type="noConversion"/>
  </si>
  <si>
    <t>2D6</t>
    <phoneticPr fontId="6" type="noConversion"/>
  </si>
  <si>
    <t>1D6</t>
    <phoneticPr fontId="6" type="noConversion"/>
  </si>
  <si>
    <t>Ferocious</t>
    <phoneticPr fontId="6" type="noConversion"/>
  </si>
  <si>
    <t>Easy</t>
    <phoneticPr fontId="6" type="noConversion"/>
  </si>
  <si>
    <t>Routine</t>
    <phoneticPr fontId="6" type="noConversion"/>
  </si>
  <si>
    <t>Skin</t>
    <phoneticPr fontId="6" type="noConversion"/>
  </si>
  <si>
    <t>Carapace</t>
    <phoneticPr fontId="6" type="noConversion"/>
  </si>
  <si>
    <t>Part of a symbiote, these large flying insectoids attack any animal that moves.</t>
    <phoneticPr fontId="6" type="noConversion"/>
  </si>
  <si>
    <t>Paddlers resemble turtles with no head or shell. The pebble backed paddler has grainy warty appearing skin on its back. It is basically a scavenger and normally presents no threat to man, although it will defend itself. The meat of the pebble backed paddler is considered a delicacy and harvesting of these creatures is carefully controlled.</t>
    <phoneticPr fontId="6" type="noConversion"/>
  </si>
  <si>
    <t>Ram</t>
    <phoneticPr fontId="6" type="noConversion"/>
  </si>
  <si>
    <t>Reminiscent of horseshoe crabs.</t>
    <phoneticPr fontId="6" type="noConversion"/>
  </si>
  <si>
    <t>A leech with a sharp-pointed prong held inside its body.</t>
    <phoneticPr fontId="6" type="noConversion"/>
  </si>
  <si>
    <t>A sea serpent.</t>
    <phoneticPr fontId="6" type="noConversion"/>
  </si>
  <si>
    <t>Deer-like.</t>
    <phoneticPr fontId="6" type="noConversion"/>
  </si>
  <si>
    <t>Crush</t>
    <phoneticPr fontId="6" type="noConversion"/>
  </si>
  <si>
    <t>Resembles a rug, 5-30 cm thick, it secretes acid on the underside.</t>
    <phoneticPr fontId="6" type="noConversion"/>
  </si>
  <si>
    <t>Resembles a small, non-flying dragon. Spits acid.</t>
    <phoneticPr fontId="6" type="noConversion"/>
  </si>
  <si>
    <t>Vegatation, resembles a mushroom 2-4 meters in height. Attacks by dropping the parasol around prey and slashing/piercing them with blades sheathed in the parasol that are exposed when the parasol drops. The blades are coated in an acidic poison.</t>
    <phoneticPr fontId="6" type="noConversion"/>
  </si>
  <si>
    <t>Poison</t>
    <phoneticPr fontId="6" type="noConversion"/>
  </si>
  <si>
    <t>Antelope-like</t>
    <phoneticPr fontId="6" type="noConversion"/>
  </si>
  <si>
    <t>Snake-like, hangs from tree and strangles, only one attack and then automatic damage</t>
    <phoneticPr fontId="6" type="noConversion"/>
  </si>
  <si>
    <t>Small pig-like animal</t>
    <phoneticPr fontId="6" type="noConversion"/>
  </si>
  <si>
    <t>Paddlers resemble turtles with no head or shell. The spiny paddler has spines on its back. It is basically a scavenger and normally presents no threat to man, although it will defend itself.</t>
    <phoneticPr fontId="6" type="noConversion"/>
  </si>
  <si>
    <t>The smallest paddler, this one looks lik a headless, shell-less turtle. They aestivate (hibernate) in mud pockets during the dry seasons when the rivers dry up.</t>
    <phoneticPr fontId="6" type="noConversion"/>
  </si>
  <si>
    <t>3D6</t>
    <phoneticPr fontId="6" type="noConversion"/>
  </si>
  <si>
    <t>Cattle dog with coyote breeding. Large feral packs roam Campobelo. Normally do not attack people.</t>
    <phoneticPr fontId="6" type="noConversion"/>
  </si>
  <si>
    <t>1D10</t>
    <phoneticPr fontId="6" type="noConversion"/>
  </si>
  <si>
    <t>Easy</t>
    <phoneticPr fontId="6" type="noConversion"/>
  </si>
  <si>
    <t>Heavy Hide</t>
    <phoneticPr fontId="6" type="noConversion"/>
  </si>
  <si>
    <t>No stats</t>
    <phoneticPr fontId="6" type="noConversion"/>
  </si>
  <si>
    <t>Herbivore</t>
    <phoneticPr fontId="6" type="noConversion"/>
  </si>
  <si>
    <t>Carnivore</t>
    <phoneticPr fontId="6" type="noConversion"/>
  </si>
  <si>
    <t>6D6 X 10</t>
    <phoneticPr fontId="6" type="noConversion"/>
  </si>
  <si>
    <t>1D3</t>
    <phoneticPr fontId="6" type="noConversion"/>
  </si>
  <si>
    <t>Aggressive</t>
    <phoneticPr fontId="6" type="noConversion"/>
  </si>
  <si>
    <t>Non-threatening</t>
    <phoneticPr fontId="6" type="noConversion"/>
  </si>
  <si>
    <t>1D6</t>
    <phoneticPr fontId="6" type="noConversion"/>
  </si>
  <si>
    <t>Difficult</t>
    <phoneticPr fontId="6" type="noConversion"/>
  </si>
  <si>
    <t>Routine</t>
    <phoneticPr fontId="6" type="noConversion"/>
  </si>
  <si>
    <t>Routine</t>
    <phoneticPr fontId="6" type="noConversion"/>
  </si>
  <si>
    <t>Light Hide</t>
    <phoneticPr fontId="6" type="noConversion"/>
  </si>
  <si>
    <t>Natural Armor Hide</t>
    <phoneticPr fontId="6" type="noConversion"/>
  </si>
  <si>
    <t>This is a monosupial resembling a penguin without wings or feet and having a tooth filled beak. It is primarily aquatic in hunting, but can take small animals and birds on land. It's land speed is 40.</t>
    <phoneticPr fontId="6" type="noConversion"/>
  </si>
  <si>
    <t>40-400</t>
    <phoneticPr fontId="6" type="noConversion"/>
  </si>
  <si>
    <t>This quadruped is adapted to cold climates. They butt or kick when defending themselves.</t>
    <phoneticPr fontId="6" type="noConversion"/>
  </si>
  <si>
    <t>Kick</t>
    <phoneticPr fontId="6" type="noConversion"/>
  </si>
  <si>
    <t>Roll Again and Add to Result from 17</t>
    <phoneticPr fontId="6" type="noConversion"/>
  </si>
  <si>
    <t>Signature</t>
    <phoneticPr fontId="6" type="noConversion"/>
  </si>
  <si>
    <t>Signature</t>
    <phoneticPr fontId="6" type="noConversion"/>
  </si>
  <si>
    <t>None</t>
    <phoneticPr fontId="6" type="noConversion"/>
  </si>
  <si>
    <t>1D6-2</t>
    <phoneticPr fontId="6" type="noConversion"/>
  </si>
  <si>
    <t>Routine</t>
    <phoneticPr fontId="6" type="noConversion"/>
  </si>
  <si>
    <t>Type</t>
    <phoneticPr fontId="6" type="noConversion"/>
  </si>
  <si>
    <t>Omnivore</t>
    <phoneticPr fontId="6" type="noConversion"/>
  </si>
  <si>
    <t>Herbivore</t>
    <phoneticPr fontId="6" type="noConversion"/>
  </si>
  <si>
    <t>Carnivore</t>
    <phoneticPr fontId="6" type="noConversion"/>
  </si>
  <si>
    <t>1D6 X1D10</t>
    <phoneticPr fontId="6" type="noConversion"/>
  </si>
  <si>
    <t>Easy</t>
    <phoneticPr fontId="6" type="noConversion"/>
  </si>
  <si>
    <t>This is Attacks by the animal</t>
    <phoneticPr fontId="6" type="noConversion"/>
  </si>
  <si>
    <t>Running Speed</t>
    <phoneticPr fontId="6" type="noConversion"/>
  </si>
  <si>
    <t>Use the corresponding size line in the table for speed, armor, wound, conciouslness, life, and damage</t>
    <phoneticPr fontId="6" type="noConversion"/>
  </si>
  <si>
    <t>Other modifiers:</t>
    <phoneticPr fontId="6" type="noConversion"/>
  </si>
  <si>
    <t>Auqatic Animals are double listed size</t>
    <phoneticPr fontId="6" type="noConversion"/>
  </si>
  <si>
    <t>Adlerhorst</t>
    <phoneticPr fontId="6" type="noConversion"/>
  </si>
  <si>
    <t>Lagartija Puma (puma lizard)</t>
    <phoneticPr fontId="6" type="noConversion"/>
  </si>
  <si>
    <t>Montana</t>
    <phoneticPr fontId="6" type="noConversion"/>
  </si>
  <si>
    <t>Initiative Bonus Dice</t>
    <phoneticPr fontId="7"/>
  </si>
  <si>
    <t>Physical Resistance</t>
    <phoneticPr fontId="7"/>
  </si>
  <si>
    <t>Mental Resistance</t>
    <phoneticPr fontId="7"/>
  </si>
  <si>
    <t>Carnivore</t>
    <phoneticPr fontId="6" type="noConversion"/>
  </si>
  <si>
    <t>1D6</t>
    <phoneticPr fontId="6" type="noConversion"/>
  </si>
  <si>
    <t>Routine</t>
    <phoneticPr fontId="6" type="noConversion"/>
  </si>
  <si>
    <t>Crapaud Tiranais (Tiranian Toad)</t>
    <phoneticPr fontId="6" type="noConversion"/>
  </si>
  <si>
    <t>Omnivore</t>
    <phoneticPr fontId="6" type="noConversion"/>
  </si>
  <si>
    <t>1D4</t>
    <phoneticPr fontId="6" type="noConversion"/>
  </si>
  <si>
    <t>Non-threatening</t>
    <phoneticPr fontId="6" type="noConversion"/>
  </si>
  <si>
    <t>Difficult</t>
    <phoneticPr fontId="6" type="noConversion"/>
  </si>
  <si>
    <t>Bite</t>
    <phoneticPr fontId="6" type="noConversion"/>
  </si>
  <si>
    <t>The diplarabo is a cow-sized creature thats head and tail are very similar in appearance and it was initially thought it had two tails and no head. The diplarabo uses its long neck to elevate its head to reach higher vegetation on land, but in the water, actually walks the bottoms of ponds and lakes using its head like a snorkel/perisope. While non-aggressive, it will fight if cornered or to defend its young by biting with its head and whipping its tail to strike anything behind it.</t>
    <phoneticPr fontId="6" type="noConversion"/>
  </si>
  <si>
    <t>Tail</t>
    <phoneticPr fontId="6" type="noConversion"/>
  </si>
  <si>
    <t>Trained attack/guard dog.</t>
    <phoneticPr fontId="6" type="noConversion"/>
  </si>
  <si>
    <t>Cat-like, but cooperates in packs.</t>
    <phoneticPr fontId="6" type="noConversion"/>
  </si>
  <si>
    <t>Resembles a rug, 5-30 cm thick, it secretes acid on the underside.</t>
    <phoneticPr fontId="6" type="noConversion"/>
  </si>
  <si>
    <t>Giant non-flying bird.</t>
    <phoneticPr fontId="6" type="noConversion"/>
  </si>
  <si>
    <t>Resembles a rug, several meters thick. It feeds by filtering nutrients into its body. It is non-aggressive, but could accidentally crush a person in its path.</t>
    <phoneticPr fontId="6" type="noConversion"/>
  </si>
  <si>
    <t>Military Dog</t>
    <phoneticPr fontId="6" type="noConversion"/>
  </si>
  <si>
    <t>Earth</t>
    <phoneticPr fontId="6" type="noConversion"/>
  </si>
  <si>
    <t>ADF FD COM Field Equipment P16</t>
    <phoneticPr fontId="6" type="noConversion"/>
  </si>
  <si>
    <t>Austin's World</t>
    <phoneticPr fontId="6" type="noConversion"/>
  </si>
  <si>
    <t>Cervo Draku</t>
    <phoneticPr fontId="6" type="noConversion"/>
  </si>
  <si>
    <t>Bounder</t>
    <phoneticPr fontId="6" type="noConversion"/>
  </si>
  <si>
    <t>Benny</t>
    <phoneticPr fontId="6" type="noConversion"/>
  </si>
  <si>
    <t>Beanstalk P47</t>
    <phoneticPr fontId="6" type="noConversion"/>
  </si>
  <si>
    <t>Fruit teddy</t>
    <phoneticPr fontId="6" type="noConversion"/>
  </si>
  <si>
    <t>Night Stalker</t>
    <phoneticPr fontId="6" type="noConversion"/>
  </si>
  <si>
    <t>Minotaur</t>
    <phoneticPr fontId="6" type="noConversion"/>
  </si>
  <si>
    <t>Buffalope</t>
    <phoneticPr fontId="6" type="noConversion"/>
  </si>
  <si>
    <t>The Noose</t>
    <phoneticPr fontId="6" type="noConversion"/>
  </si>
  <si>
    <t>Blood Monkey</t>
    <phoneticPr fontId="6" type="noConversion"/>
  </si>
  <si>
    <t>Campobelo Cattle Dog</t>
    <phoneticPr fontId="6" type="noConversion"/>
  </si>
  <si>
    <t>Campobelo - Provincia do Brasil P17</t>
    <phoneticPr fontId="6" type="noConversion"/>
  </si>
  <si>
    <t>Lemanja - Provincia do Brasil P24</t>
    <phoneticPr fontId="6" type="noConversion"/>
  </si>
  <si>
    <t>Spiny Backed Paddler</t>
    <phoneticPr fontId="6" type="noConversion"/>
  </si>
  <si>
    <t>Pebble Backed Paddler</t>
    <phoneticPr fontId="6" type="noConversion"/>
  </si>
  <si>
    <t>Tiraguara</t>
    <phoneticPr fontId="6" type="noConversion"/>
  </si>
  <si>
    <t>Flyers are 2X speed in air and 1/2 speed on ground/swimming</t>
    <phoneticPr fontId="6" type="noConversion"/>
  </si>
  <si>
    <t>Gliders are 1/2 speed in air and normal speed on ground</t>
    <phoneticPr fontId="6" type="noConversion"/>
  </si>
  <si>
    <t>Nova Ostia - Provincia do Brasil P19</t>
    <phoneticPr fontId="6" type="noConversion"/>
  </si>
  <si>
    <t>Creature Characteristic Table</t>
    <phoneticPr fontId="6" type="noConversion"/>
  </si>
  <si>
    <t>Attack</t>
    <phoneticPr fontId="6" type="noConversion"/>
  </si>
  <si>
    <t>Flyer</t>
    <phoneticPr fontId="6" type="noConversion"/>
  </si>
  <si>
    <t>Yes</t>
    <phoneticPr fontId="6" type="noConversion"/>
  </si>
  <si>
    <t>Gobo, Infertile Female</t>
    <phoneticPr fontId="6" type="noConversion"/>
  </si>
  <si>
    <t>D10 X100 +D100</t>
    <phoneticPr fontId="6" type="noConversion"/>
  </si>
  <si>
    <t>This creature resembles a monkey, but is fully capable on the ground as well as in trees. This creature is an insectivore and feeds like a bull frog by flicking its 1 meter long tongue out to catch them.They are generally harmless to man, however, they have been known to mistake glitterying/sparkling dangling objects, such as earrings for prey.</t>
    <phoneticPr fontId="6" type="noConversion"/>
  </si>
  <si>
    <t>Fist</t>
    <phoneticPr fontId="6" type="noConversion"/>
  </si>
  <si>
    <t>3D6</t>
    <phoneticPr fontId="6" type="noConversion"/>
  </si>
  <si>
    <t>Herbivore</t>
    <phoneticPr fontId="6" type="noConversion"/>
  </si>
  <si>
    <t>Yes</t>
    <phoneticPr fontId="6" type="noConversion"/>
  </si>
  <si>
    <t>This massive quadruped somewhat resembles a hippopotomus. It attacks with its tusks by swinging its head.</t>
    <phoneticPr fontId="6" type="noConversion"/>
  </si>
  <si>
    <t>Tusk</t>
    <phoneticPr fontId="6" type="noConversion"/>
  </si>
  <si>
    <t>100-10000</t>
    <phoneticPr fontId="6" type="noConversion"/>
  </si>
  <si>
    <t>Armor</t>
    <phoneticPr fontId="6" type="noConversion"/>
  </si>
  <si>
    <t>Wound</t>
    <phoneticPr fontId="6" type="noConversion"/>
  </si>
  <si>
    <t>Conciousness</t>
    <phoneticPr fontId="6" type="noConversion"/>
  </si>
  <si>
    <t>Life</t>
    <phoneticPr fontId="6" type="noConversion"/>
  </si>
  <si>
    <t>Base Damage</t>
    <phoneticPr fontId="6" type="noConversion"/>
  </si>
  <si>
    <t>Creature</t>
    <phoneticPr fontId="6" type="noConversion"/>
  </si>
  <si>
    <t>No Appear</t>
    <phoneticPr fontId="6" type="noConversion"/>
  </si>
  <si>
    <t>Initiative</t>
    <phoneticPr fontId="6" type="noConversion"/>
  </si>
  <si>
    <t>Notable Native Fauna of Nouvelle Provence P9</t>
    <phoneticPr fontId="6" type="noConversion"/>
  </si>
  <si>
    <t>Beowulfian Dragon-Bat</t>
    <phoneticPr fontId="6" type="noConversion"/>
  </si>
  <si>
    <t>Tusker</t>
    <phoneticPr fontId="6" type="noConversion"/>
  </si>
  <si>
    <t>Rangerunner</t>
    <phoneticPr fontId="6" type="noConversion"/>
  </si>
  <si>
    <t>Banshee</t>
    <phoneticPr fontId="6" type="noConversion"/>
  </si>
  <si>
    <t>Beta Canum</t>
    <phoneticPr fontId="6" type="noConversion"/>
  </si>
  <si>
    <t>Sea Dragon</t>
    <phoneticPr fontId="6" type="noConversion"/>
  </si>
  <si>
    <t>Curtain Dragon</t>
    <phoneticPr fontId="6" type="noConversion"/>
  </si>
  <si>
    <t>Ranger P13</t>
    <phoneticPr fontId="6" type="noConversion"/>
  </si>
  <si>
    <t>Communal Gruntbugglies</t>
    <phoneticPr fontId="6" type="noConversion"/>
  </si>
  <si>
    <t>Sharpshooter</t>
    <phoneticPr fontId="6" type="noConversion"/>
  </si>
  <si>
    <t>Omnivoous Sharpshooter</t>
    <phoneticPr fontId="6" type="noConversion"/>
  </si>
  <si>
    <t>Sniper</t>
    <phoneticPr fontId="6" type="noConversion"/>
  </si>
  <si>
    <t>Great Sniper</t>
    <phoneticPr fontId="6" type="noConversion"/>
  </si>
  <si>
    <t>Notable Native Fauna of Nouvelle Provence P4</t>
    <phoneticPr fontId="6" type="noConversion"/>
  </si>
  <si>
    <t>Griot (Chattering Monkey)</t>
    <phoneticPr fontId="6" type="noConversion"/>
  </si>
  <si>
    <t>Mepriseur (Scorner)</t>
    <phoneticPr fontId="6" type="noConversion"/>
  </si>
  <si>
    <t>Singerie (Antic)</t>
    <phoneticPr fontId="6" type="noConversion"/>
  </si>
  <si>
    <t>Rating</t>
  </si>
  <si>
    <t>Initiative</t>
    <phoneticPr fontId="7"/>
  </si>
  <si>
    <t>Machoire (Jaw)</t>
    <phoneticPr fontId="6" type="noConversion"/>
  </si>
  <si>
    <t>Notable Native Fauna of Nouvelle Provence P1</t>
    <phoneticPr fontId="6" type="noConversion"/>
  </si>
  <si>
    <t>Sanglier (Wild Boar)</t>
    <phoneticPr fontId="6" type="noConversion"/>
  </si>
  <si>
    <t>Notable Native Fauna of Nouvelle Provence P2</t>
    <phoneticPr fontId="6" type="noConversion"/>
  </si>
  <si>
    <t>Crochet (Snake's Fang)</t>
    <phoneticPr fontId="6" type="noConversion"/>
  </si>
  <si>
    <t>Dilali</t>
    <phoneticPr fontId="6" type="noConversion"/>
  </si>
  <si>
    <t>Maipolina</t>
    <phoneticPr fontId="6" type="noConversion"/>
  </si>
  <si>
    <t>Ndyoko</t>
    <phoneticPr fontId="6" type="noConversion"/>
  </si>
  <si>
    <t>Notable Native Fauna of Nouvelle Provence P3</t>
    <phoneticPr fontId="6" type="noConversion"/>
  </si>
  <si>
    <t>Claw</t>
    <phoneticPr fontId="6" type="noConversion"/>
  </si>
  <si>
    <t>This avian is similar to the albatross and fills the same niche on Tirane.</t>
    <phoneticPr fontId="6" type="noConversion"/>
  </si>
  <si>
    <t>Ferocious</t>
    <phoneticPr fontId="6" type="noConversion"/>
  </si>
  <si>
    <t>Beak</t>
    <phoneticPr fontId="6" type="noConversion"/>
  </si>
  <si>
    <t>This snake-like creater actually has two tail "fingers" with which it holds its prey. Note that the arboreal speed of this creature is 110.</t>
    <phoneticPr fontId="6" type="noConversion"/>
  </si>
  <si>
    <t>Non-threatening</t>
    <phoneticPr fontId="6" type="noConversion"/>
  </si>
  <si>
    <t>A flat finned invertebrate, believed to be a state of a multiphase life cycle of some larger creature. It's feeding mechanism is kept inside its body until something steps on it, when it springs like a bear trap.</t>
    <phoneticPr fontId="6" type="noConversion"/>
  </si>
  <si>
    <t>A crab-like arboreal predator that literally falls on its prey.</t>
    <phoneticPr fontId="6" type="noConversion"/>
  </si>
  <si>
    <t>Bat-like, but typically diurnal and with good vision, appears in large swarms, very unpleasant scavengers.</t>
    <phoneticPr fontId="6" type="noConversion"/>
  </si>
  <si>
    <t>Gobo warrior caste.</t>
    <phoneticPr fontId="6" type="noConversion"/>
  </si>
  <si>
    <t>Like a cross between a weasel and a boa constrictor.</t>
    <phoneticPr fontId="6" type="noConversion"/>
  </si>
  <si>
    <t>Colonial Atlas P94</t>
  </si>
  <si>
    <t>Colonial Atlas P96</t>
  </si>
  <si>
    <t>Colonial Atlas P71</t>
  </si>
  <si>
    <t>Gattinho Da Seva</t>
    <phoneticPr fontId="6" type="noConversion"/>
  </si>
  <si>
    <t>White Wing</t>
    <phoneticPr fontId="6" type="noConversion"/>
  </si>
  <si>
    <t>Hermes</t>
    <phoneticPr fontId="6" type="noConversion"/>
  </si>
  <si>
    <t>Sixgoat</t>
    <phoneticPr fontId="6" type="noConversion"/>
  </si>
  <si>
    <t>Kingsland</t>
    <phoneticPr fontId="6" type="noConversion"/>
  </si>
  <si>
    <t>Rockrat</t>
    <phoneticPr fontId="6" type="noConversion"/>
  </si>
  <si>
    <t>Fair Cow</t>
    <phoneticPr fontId="6" type="noConversion"/>
  </si>
  <si>
    <t>Bush Baby</t>
    <phoneticPr fontId="6" type="noConversion"/>
  </si>
  <si>
    <t>Beanstalk P46</t>
    <phoneticPr fontId="6" type="noConversion"/>
  </si>
  <si>
    <t>Size Bonus/Penalty</t>
  </si>
  <si>
    <t>Size Rating</t>
  </si>
  <si>
    <t>Example</t>
  </si>
  <si>
    <t>Small orb knocks over small objects.  Dazes person hit in the head</t>
  </si>
  <si>
    <t>Accident (Zone X 3), Enhanced Depth Perception, Silence (Zone X 3); Note Quickness multiplier for flying is 7</t>
  </si>
  <si>
    <t>Protean</t>
  </si>
  <si>
    <t>V</t>
  </si>
  <si>
    <t>Sumpfkuh (mire cow)</t>
    <phoneticPr fontId="6" type="noConversion"/>
  </si>
  <si>
    <t>Neubayern</t>
    <phoneticPr fontId="6" type="noConversion"/>
  </si>
  <si>
    <t>Gobbler</t>
    <phoneticPr fontId="6" type="noConversion"/>
  </si>
  <si>
    <t>Bladehood</t>
    <phoneticPr fontId="6" type="noConversion"/>
  </si>
  <si>
    <t>Aurore</t>
    <phoneticPr fontId="6" type="noConversion"/>
  </si>
  <si>
    <t>Creep</t>
    <phoneticPr fontId="6" type="noConversion"/>
  </si>
  <si>
    <t>Lemanja - Provincia do Brasil P25</t>
    <phoneticPr fontId="6" type="noConversion"/>
  </si>
  <si>
    <t>Ululador</t>
    <phoneticPr fontId="6" type="noConversion"/>
  </si>
  <si>
    <t>Sand Puppy</t>
    <phoneticPr fontId="6" type="noConversion"/>
  </si>
  <si>
    <t>Vedeto</t>
    <phoneticPr fontId="6" type="noConversion"/>
  </si>
  <si>
    <t>Nova Ostia - Provincia do Brasil P20</t>
    <phoneticPr fontId="6" type="noConversion"/>
  </si>
  <si>
    <t>Cheyan</t>
    <phoneticPr fontId="6" type="noConversion"/>
  </si>
  <si>
    <t>Zundor</t>
    <phoneticPr fontId="6" type="noConversion"/>
  </si>
  <si>
    <t>Red Tarnder</t>
    <phoneticPr fontId="6" type="noConversion"/>
  </si>
  <si>
    <t>Jacantha</t>
    <phoneticPr fontId="6" type="noConversion"/>
  </si>
  <si>
    <t>Wisenta Pradoa</t>
    <phoneticPr fontId="6" type="noConversion"/>
  </si>
  <si>
    <t>10% of Flock</t>
    <phoneticPr fontId="6" type="noConversion"/>
  </si>
  <si>
    <t>1D4</t>
    <phoneticPr fontId="6" type="noConversion"/>
  </si>
  <si>
    <t>Add to Size Roll</t>
    <phoneticPr fontId="6" type="noConversion"/>
  </si>
  <si>
    <t>For WARPS, use 2D8</t>
    <phoneticPr fontId="6" type="noConversion"/>
  </si>
  <si>
    <t>Temperament</t>
    <phoneticPr fontId="0" type="noConversion"/>
  </si>
  <si>
    <t>Temperament</t>
    <phoneticPr fontId="6" type="noConversion"/>
  </si>
  <si>
    <t>Dangerous</t>
    <phoneticPr fontId="6" type="noConversion"/>
  </si>
  <si>
    <t>Bearlike, have never been seen using their claws; predators avoid them</t>
    <phoneticPr fontId="6" type="noConversion"/>
  </si>
  <si>
    <t>Big cat-like, hairless nocturnal predator</t>
    <phoneticPr fontId="6" type="noConversion"/>
  </si>
  <si>
    <t>Resembles a small, hornless rhinocerous</t>
    <phoneticPr fontId="6" type="noConversion"/>
  </si>
  <si>
    <t>Scavenger with very large mouth and very big teeth</t>
    <phoneticPr fontId="6" type="noConversion"/>
  </si>
  <si>
    <t>Tree dwelling, hunts birds and small animals</t>
    <phoneticPr fontId="6" type="noConversion"/>
  </si>
  <si>
    <t>Tree dwelling, like a cross between an iquana and a coyote, packs hunt almost anything</t>
    <phoneticPr fontId="6" type="noConversion"/>
  </si>
  <si>
    <t>Like a cross between a buffalo and an antelope</t>
    <phoneticPr fontId="6" type="noConversion"/>
  </si>
  <si>
    <t>Druqui AKA Drukey</t>
    <phoneticPr fontId="6" type="noConversion"/>
  </si>
  <si>
    <t>Hunter</t>
    <phoneticPr fontId="6" type="noConversion"/>
  </si>
  <si>
    <t>Pouncer</t>
    <phoneticPr fontId="6" type="noConversion"/>
  </si>
  <si>
    <t>Grazer</t>
    <phoneticPr fontId="6" type="noConversion"/>
  </si>
  <si>
    <t>Killer</t>
    <phoneticPr fontId="6" type="noConversion"/>
  </si>
  <si>
    <t>Hijacker</t>
    <phoneticPr fontId="6" type="noConversion"/>
  </si>
  <si>
    <t>Chaser, Large</t>
    <phoneticPr fontId="6" type="noConversion"/>
  </si>
  <si>
    <t>Pouncer, Large</t>
    <phoneticPr fontId="6" type="noConversion"/>
  </si>
  <si>
    <t>1D6</t>
    <phoneticPr fontId="6" type="noConversion"/>
  </si>
  <si>
    <t>Difficult</t>
    <phoneticPr fontId="6" type="noConversion"/>
  </si>
  <si>
    <t>2D6</t>
    <phoneticPr fontId="6" type="noConversion"/>
  </si>
  <si>
    <t>2D6</t>
    <phoneticPr fontId="6" type="noConversion"/>
  </si>
  <si>
    <t>Size Kg</t>
    <phoneticPr fontId="6" type="noConversion"/>
  </si>
  <si>
    <t>Speed</t>
    <phoneticPr fontId="6" type="noConversion"/>
  </si>
  <si>
    <t>Demon (Fiend)</t>
    <phoneticPr fontId="6" type="noConversion"/>
  </si>
  <si>
    <t>Fon (Cheif)</t>
    <phoneticPr fontId="6" type="noConversion"/>
  </si>
  <si>
    <t>Essence Drain (Temporary), Immunity to Normal Weapons, Paralyzing Howl</t>
  </si>
  <si>
    <t>?</t>
    <phoneticPr fontId="0" type="noConversion"/>
  </si>
  <si>
    <t>?</t>
    <phoneticPr fontId="0" type="noConversion"/>
  </si>
  <si>
    <t>Fist</t>
    <phoneticPr fontId="0" type="noConversion"/>
  </si>
  <si>
    <t>Grapple</t>
    <phoneticPr fontId="0" type="noConversion"/>
  </si>
  <si>
    <t>Bite</t>
    <phoneticPr fontId="0" type="noConversion"/>
  </si>
  <si>
    <t xml:space="preserve"> </t>
    <phoneticPr fontId="0" type="noConversion"/>
  </si>
  <si>
    <t xml:space="preserve"> </t>
    <phoneticPr fontId="0" type="noConversion"/>
  </si>
  <si>
    <t>Willpower</t>
    <phoneticPr fontId="0"/>
  </si>
  <si>
    <t>Dreglamon</t>
    <phoneticPr fontId="0" type="noConversion"/>
  </si>
  <si>
    <t>Distance Weapons</t>
  </si>
  <si>
    <t>Fear (Paralysis Variant), Weakness:  Allergy (Sunlight, Mild)</t>
  </si>
  <si>
    <t>Hsing-sing</t>
  </si>
  <si>
    <t>Onaqui</t>
  </si>
  <si>
    <t>Must be dismembered to kill.  All bullet and stabbing weapon damage are reduced to 1 per die.</t>
    <phoneticPr fontId="0" type="noConversion"/>
  </si>
  <si>
    <t>3d6</t>
    <phoneticPr fontId="0" type="noConversion"/>
  </si>
  <si>
    <t xml:space="preserve"> </t>
    <phoneticPr fontId="0" type="noConversion"/>
  </si>
  <si>
    <t xml:space="preserve"> </t>
    <phoneticPr fontId="0" type="noConversion"/>
  </si>
  <si>
    <t>Binding, Mimicry, Paralyzing Touch</t>
  </si>
  <si>
    <t>Greater Carp</t>
  </si>
  <si>
    <t>Notable Native Fauna of Nouvelle Provence P5</t>
    <phoneticPr fontId="6" type="noConversion"/>
  </si>
  <si>
    <t>Engulf 6M</t>
  </si>
  <si>
    <t>Greater Toad</t>
  </si>
  <si>
    <t>Badigui</t>
    <phoneticPr fontId="6" type="noConversion"/>
  </si>
  <si>
    <t>Demi (Half-Back)</t>
    <phoneticPr fontId="6" type="noConversion"/>
  </si>
  <si>
    <t>Notable Native Fauna of Nouvelle Provence P6</t>
    <phoneticPr fontId="6" type="noConversion"/>
  </si>
  <si>
    <t>Aurore Sourcebook P23</t>
    <phoneticPr fontId="6" type="noConversion"/>
  </si>
  <si>
    <t>Diplorabo</t>
    <phoneticPr fontId="6" type="noConversion"/>
  </si>
  <si>
    <t>Meninoro</t>
    <phoneticPr fontId="6" type="noConversion"/>
  </si>
  <si>
    <t>Cisneroca</t>
    <phoneticPr fontId="6" type="noConversion"/>
  </si>
  <si>
    <t>Tourneur (Spinner)</t>
    <phoneticPr fontId="6" type="noConversion"/>
  </si>
  <si>
    <t>Aquile (Eagle)</t>
    <phoneticPr fontId="6" type="noConversion"/>
  </si>
  <si>
    <t>Herbivore</t>
    <phoneticPr fontId="6" type="noConversion"/>
  </si>
  <si>
    <t>2D10</t>
    <phoneticPr fontId="6" type="noConversion"/>
  </si>
  <si>
    <t>Light Hide</t>
    <phoneticPr fontId="6" type="noConversion"/>
  </si>
  <si>
    <t>Bash</t>
    <phoneticPr fontId="6" type="noConversion"/>
  </si>
  <si>
    <t>Carnivore</t>
    <phoneticPr fontId="6" type="noConversion"/>
  </si>
  <si>
    <t>2D6</t>
    <phoneticPr fontId="6" type="noConversion"/>
  </si>
  <si>
    <t>Aggressive</t>
    <phoneticPr fontId="6" type="noConversion"/>
  </si>
  <si>
    <t>Routine</t>
    <phoneticPr fontId="6" type="noConversion"/>
  </si>
  <si>
    <t>Easy</t>
    <phoneticPr fontId="6" type="noConversion"/>
  </si>
  <si>
    <t>Skin</t>
    <phoneticPr fontId="6" type="noConversion"/>
  </si>
  <si>
    <t>Preying Roach</t>
    <phoneticPr fontId="6" type="noConversion"/>
  </si>
  <si>
    <t>Protector</t>
    <phoneticPr fontId="6" type="noConversion"/>
  </si>
  <si>
    <t>1D6 X 1D10</t>
    <phoneticPr fontId="6" type="noConversion"/>
  </si>
  <si>
    <t>1D6</t>
    <phoneticPr fontId="6" type="noConversion"/>
  </si>
  <si>
    <t>Claw</t>
    <phoneticPr fontId="6" type="noConversion"/>
  </si>
  <si>
    <t>Dangerous</t>
    <phoneticPr fontId="6" type="noConversion"/>
  </si>
  <si>
    <t>Butt</t>
    <phoneticPr fontId="6" type="noConversion"/>
  </si>
  <si>
    <t>Grapple</t>
    <phoneticPr fontId="6" type="noConversion"/>
  </si>
  <si>
    <t>Cuckold Flies</t>
    <phoneticPr fontId="6" type="noConversion"/>
  </si>
  <si>
    <t>Squirrel Spider</t>
    <phoneticPr fontId="6" type="noConversion"/>
  </si>
  <si>
    <t>Ripper Bug</t>
    <phoneticPr fontId="6" type="noConversion"/>
  </si>
  <si>
    <t>French Arm Adventures Mongoose P123</t>
    <phoneticPr fontId="6" type="noConversion"/>
  </si>
  <si>
    <t>Dranta-Kwo</t>
    <phoneticPr fontId="6" type="noConversion"/>
  </si>
  <si>
    <t>Tirania A New Direction P29</t>
    <phoneticPr fontId="6" type="noConversion"/>
  </si>
  <si>
    <t>Campinasur - Provincia do Brasil P22</t>
    <phoneticPr fontId="6" type="noConversion"/>
  </si>
  <si>
    <t>Tirapingi</t>
    <phoneticPr fontId="6" type="noConversion"/>
  </si>
  <si>
    <t>Polarbuck</t>
    <phoneticPr fontId="6" type="noConversion"/>
  </si>
  <si>
    <t>Chagi</t>
    <phoneticPr fontId="6" type="noConversion"/>
  </si>
  <si>
    <t>Campinasur - Provincia do Brasil P23</t>
    <phoneticPr fontId="6" type="noConversion"/>
  </si>
  <si>
    <t>Tripod anteater</t>
    <phoneticPr fontId="6" type="noConversion"/>
  </si>
  <si>
    <t>Marerose's Aestivating Paddler</t>
    <phoneticPr fontId="6" type="noConversion"/>
  </si>
  <si>
    <t>Colonial Atlas P57</t>
  </si>
  <si>
    <t>Colonial Atlas P86</t>
  </si>
  <si>
    <t>Colonial Atlas P77</t>
  </si>
  <si>
    <t>Atlas of the French Arm P93</t>
    <phoneticPr fontId="6" type="noConversion"/>
  </si>
  <si>
    <t>Paulo</t>
    <phoneticPr fontId="6" type="noConversion"/>
  </si>
  <si>
    <t>E-quickness 1/day for essence 2D6 turns; Improved hearing; Improved smell; Motion detection; Fear; Immunity to cold; Immunity to fire; Immunity to pathogens; Immunity to poisons; Hardened Armor</t>
  </si>
  <si>
    <t>Lambton Lizard</t>
  </si>
  <si>
    <t>4S, +1 Reach</t>
  </si>
  <si>
    <t>Rings pin target for 30 seconds -10 seconds per size &gt; 0.</t>
  </si>
  <si>
    <t>Improved eyesight; Immunity to pathogens; Immunity to poisons; Influence (hopelessness); Allergy, pollution, severe</t>
  </si>
  <si>
    <t>Hell Hound</t>
  </si>
  <si>
    <t>Burrowers</t>
    <phoneticPr fontId="6" type="noConversion"/>
  </si>
  <si>
    <t>Skimmers</t>
    <phoneticPr fontId="6" type="noConversion"/>
  </si>
  <si>
    <t>Bergkatze</t>
    <phoneticPr fontId="6" type="noConversion"/>
  </si>
  <si>
    <t>Spinnemaus (Spider-mouse)</t>
    <phoneticPr fontId="6" type="noConversion"/>
  </si>
  <si>
    <t>Bloodsucker</t>
    <phoneticPr fontId="6" type="noConversion"/>
  </si>
  <si>
    <t>Dropper</t>
    <phoneticPr fontId="6" type="noConversion"/>
  </si>
  <si>
    <t>Redswift</t>
    <phoneticPr fontId="6" type="noConversion"/>
  </si>
  <si>
    <t>Hulk</t>
    <phoneticPr fontId="6" type="noConversion"/>
  </si>
  <si>
    <t>Ranger P11</t>
    <phoneticPr fontId="6" type="noConversion"/>
  </si>
  <si>
    <t>82 Eridani</t>
    <phoneticPr fontId="6" type="noConversion"/>
  </si>
  <si>
    <t>Tall Fox</t>
    <phoneticPr fontId="6" type="noConversion"/>
  </si>
  <si>
    <t>Centaur</t>
    <phoneticPr fontId="6" type="noConversion"/>
  </si>
  <si>
    <t>Cotta Bird</t>
    <phoneticPr fontId="6" type="noConversion"/>
  </si>
  <si>
    <t>E-Horse</t>
    <phoneticPr fontId="6" type="noConversion"/>
  </si>
  <si>
    <t>Dunkelheim</t>
    <phoneticPr fontId="6" type="noConversion"/>
  </si>
  <si>
    <t>Cold Mountain</t>
    <phoneticPr fontId="6" type="noConversion"/>
  </si>
  <si>
    <t>Afanc (Bear)</t>
    <phoneticPr fontId="6" type="noConversion"/>
  </si>
  <si>
    <t>Hadjel</t>
    <phoneticPr fontId="6" type="noConversion"/>
  </si>
  <si>
    <t>Notable Native Fauna of Nouvelle Provence P10</t>
    <phoneticPr fontId="6" type="noConversion"/>
  </si>
  <si>
    <t>Sera do Prado - Provincia do Brasil P17</t>
    <phoneticPr fontId="6" type="noConversion"/>
  </si>
  <si>
    <t>Camairico</t>
    <phoneticPr fontId="6" type="noConversion"/>
  </si>
  <si>
    <t>Non-threatening</t>
    <phoneticPr fontId="6" type="noConversion"/>
  </si>
  <si>
    <t>Aggressive</t>
    <phoneticPr fontId="6" type="noConversion"/>
  </si>
  <si>
    <t>Ferocious</t>
    <phoneticPr fontId="6" type="noConversion"/>
  </si>
  <si>
    <t>Weight</t>
    <phoneticPr fontId="6" type="noConversion"/>
  </si>
  <si>
    <t>Bird</t>
    <phoneticPr fontId="6" type="noConversion"/>
  </si>
  <si>
    <t>Awareness</t>
    <phoneticPr fontId="0" type="noConversion"/>
  </si>
  <si>
    <t>Herbivore</t>
    <phoneticPr fontId="6" type="noConversion"/>
  </si>
  <si>
    <t>Carnivore</t>
    <phoneticPr fontId="6" type="noConversion"/>
  </si>
  <si>
    <t>Carnivore</t>
    <phoneticPr fontId="6" type="noConversion"/>
  </si>
  <si>
    <t>Irisi</t>
    <phoneticPr fontId="6" type="noConversion"/>
  </si>
  <si>
    <t>Massaude (Gloomy)</t>
    <phoneticPr fontId="6" type="noConversion"/>
  </si>
  <si>
    <t>Bite</t>
    <phoneticPr fontId="6" type="noConversion"/>
  </si>
  <si>
    <t>Gatherer</t>
    <phoneticPr fontId="6" type="noConversion"/>
  </si>
  <si>
    <t>Intermittent</t>
    <phoneticPr fontId="6" type="noConversion"/>
  </si>
  <si>
    <t>Chaser</t>
    <phoneticPr fontId="6" type="noConversion"/>
  </si>
  <si>
    <t>Cabo Vitorio - Provincia do Brasil P22</t>
    <phoneticPr fontId="6" type="noConversion"/>
  </si>
  <si>
    <t>Tongue Monkey</t>
    <phoneticPr fontId="6" type="noConversion"/>
  </si>
  <si>
    <t>Cabo Vitorio - Provincia do Brasil P23</t>
    <phoneticPr fontId="6" type="noConversion"/>
  </si>
  <si>
    <t>Gargantcarnado</t>
    <phoneticPr fontId="6" type="noConversion"/>
  </si>
  <si>
    <t>Ranger P12</t>
    <phoneticPr fontId="6" type="noConversion"/>
  </si>
  <si>
    <t>E-Dog</t>
    <phoneticPr fontId="6" type="noConversion"/>
  </si>
  <si>
    <t>Schreckenschwimmer (Terror-swimmer)</t>
    <phoneticPr fontId="6" type="noConversion"/>
  </si>
  <si>
    <t>Beowulf</t>
    <phoneticPr fontId="6" type="noConversion"/>
  </si>
  <si>
    <t>Angel's Web</t>
    <phoneticPr fontId="6" type="noConversion"/>
  </si>
  <si>
    <t>Colonial Atlas P74</t>
  </si>
  <si>
    <t>Aggressive</t>
    <phoneticPr fontId="0" type="noConversion"/>
  </si>
  <si>
    <t>Mbilintu</t>
    <phoneticPr fontId="6" type="noConversion"/>
  </si>
  <si>
    <t>Salope (Tart)</t>
    <phoneticPr fontId="6" type="noConversion"/>
  </si>
  <si>
    <t>Tortue (Tortoise)</t>
    <phoneticPr fontId="6" type="noConversion"/>
  </si>
  <si>
    <t>Notable Native Fauna of Nouvelle Provence P8</t>
    <phoneticPr fontId="6" type="noConversion"/>
  </si>
  <si>
    <t>Broche (Skewer)</t>
    <phoneticPr fontId="6" type="noConversion"/>
  </si>
  <si>
    <t>&gt;75% is -2</t>
    <phoneticPr fontId="7"/>
  </si>
  <si>
    <t>100% is -3</t>
    <phoneticPr fontId="7"/>
  </si>
  <si>
    <t>Chamax Hunter</t>
  </si>
  <si>
    <t>10 minutes</t>
    <phoneticPr fontId="0" type="noConversion"/>
  </si>
  <si>
    <t>&gt;50% is -1</t>
    <phoneticPr fontId="7"/>
  </si>
  <si>
    <t>Gargoyle</t>
    <phoneticPr fontId="0" type="noConversion"/>
  </si>
  <si>
    <t>Carnivore</t>
    <phoneticPr fontId="0" type="noConversion"/>
  </si>
  <si>
    <t>Total Hit Points</t>
  </si>
  <si>
    <t>31-40</t>
  </si>
  <si>
    <t>11-30</t>
  </si>
  <si>
    <t>31-80</t>
  </si>
  <si>
    <t>81-150</t>
  </si>
  <si>
    <t>Escape Artistry</t>
  </si>
  <si>
    <t>Non-Lethal</t>
  </si>
  <si>
    <t>Low-light vision; Hypnotic song; Immunity to pathogens; Immunity to poison</t>
  </si>
  <si>
    <t>Electrical projection, Noxious Breath, Paralyzing touch, Petrification, Petrifiying Gaze, Venom, Weather Control; Dietary requirement heavy petroleum oils; Note Quickness multiplier for swimming is 5</t>
  </si>
  <si>
    <t>Grandfather Elk</t>
  </si>
  <si>
    <t>Special, see text</t>
  </si>
  <si>
    <t>D20+</t>
  </si>
  <si>
    <t>Carnivore</t>
    <phoneticPr fontId="0" type="noConversion"/>
  </si>
  <si>
    <t>Ferocious</t>
    <phoneticPr fontId="0" type="noConversion"/>
  </si>
  <si>
    <t>Skin</t>
    <phoneticPr fontId="0" type="noConversion"/>
  </si>
  <si>
    <t>Fist</t>
    <phoneticPr fontId="0" type="noConversion"/>
  </si>
  <si>
    <t>Grapple</t>
    <phoneticPr fontId="0" type="noConversion"/>
  </si>
  <si>
    <t>Bubble+ when destroyed hits anything inside with Lightning Blast.</t>
  </si>
  <si>
    <t>Skills</t>
  </si>
  <si>
    <t>Mental Attributes</t>
  </si>
  <si>
    <t>Secondary Attributes</t>
  </si>
  <si>
    <t>Dance</t>
  </si>
  <si>
    <t>Flight, Immunity to Normal Weapons, Invisibility; Vulnerability (Jade)</t>
  </si>
  <si>
    <t>Rachnyn</t>
  </si>
  <si>
    <t>4M Stun</t>
  </si>
  <si>
    <t>Ranger P58</t>
    <phoneticPr fontId="6" type="noConversion"/>
  </si>
  <si>
    <t>Rumble</t>
    <phoneticPr fontId="6" type="noConversion"/>
  </si>
  <si>
    <t>Hengeyokai, Nezumi</t>
  </si>
  <si>
    <t>Long Necked Grape Weasent</t>
    <phoneticPr fontId="6" type="noConversion"/>
  </si>
  <si>
    <t>Vinicao - Provincia do Brasil P21</t>
    <phoneticPr fontId="6" type="noConversion"/>
  </si>
  <si>
    <t>Vinicao - Provincia do Brasil P20</t>
    <phoneticPr fontId="6" type="noConversion"/>
  </si>
  <si>
    <t>DM +17 2611 II</t>
    <phoneticPr fontId="6" type="noConversion"/>
  </si>
  <si>
    <t>French Arm Adventures Mongoose P121</t>
    <phoneticPr fontId="6" type="noConversion"/>
  </si>
  <si>
    <t>Crunch Shrub</t>
    <phoneticPr fontId="6" type="noConversion"/>
  </si>
  <si>
    <t>Skater</t>
    <phoneticPr fontId="6" type="noConversion"/>
  </si>
  <si>
    <t>Origami Basker</t>
    <phoneticPr fontId="6" type="noConversion"/>
  </si>
  <si>
    <t>Lecko</t>
    <phoneticPr fontId="6" type="noConversion"/>
  </si>
  <si>
    <t>Saint Tyraine Caribe's Corner of Tirane P15</t>
    <phoneticPr fontId="6" type="noConversion"/>
  </si>
  <si>
    <t>French Arm Adventures Mongoose P122</t>
    <phoneticPr fontId="6" type="noConversion"/>
  </si>
  <si>
    <t>Housekeeper</t>
    <phoneticPr fontId="6" type="noConversion"/>
  </si>
  <si>
    <t>Troat</t>
    <phoneticPr fontId="6" type="noConversion"/>
  </si>
  <si>
    <t>Austerhaifisch (Oyster-shark)</t>
    <phoneticPr fontId="6" type="noConversion"/>
  </si>
  <si>
    <t>Compulsion (homicidal mania); Essence drain, modified; Immunity to normal weapons; Manifestation</t>
  </si>
  <si>
    <t>Novopossum</t>
  </si>
  <si>
    <t>Neu-Tsingtao and the Sudgartne Kreis P24</t>
    <phoneticPr fontId="6" type="noConversion"/>
  </si>
  <si>
    <t>Tirane</t>
    <phoneticPr fontId="6" type="noConversion"/>
  </si>
  <si>
    <t>Porcupig</t>
    <phoneticPr fontId="6" type="noConversion"/>
  </si>
  <si>
    <t>Strutter</t>
    <phoneticPr fontId="6" type="noConversion"/>
  </si>
  <si>
    <t>Tarnder</t>
    <phoneticPr fontId="6" type="noConversion"/>
  </si>
  <si>
    <t>Weasent</t>
    <phoneticPr fontId="6" type="noConversion"/>
  </si>
  <si>
    <t>Stragmat/Creep</t>
    <phoneticPr fontId="6" type="noConversion"/>
  </si>
  <si>
    <t>Aurore</t>
    <phoneticPr fontId="6" type="noConversion"/>
  </si>
  <si>
    <t>Atlas of the French Arm P210</t>
    <phoneticPr fontId="6" type="noConversion"/>
  </si>
  <si>
    <t>Colonial Atlas P20</t>
  </si>
  <si>
    <t>Colonial Atlas P8</t>
  </si>
  <si>
    <t>Colonial Atlas P9</t>
  </si>
  <si>
    <t>Colonial Atlas P10</t>
  </si>
  <si>
    <t>Saber-Tooth Cat</t>
  </si>
  <si>
    <t>Orb spins target.  Dex or drop held items, -1/r.  Dizzy.  See text.</t>
  </si>
  <si>
    <t>Concealment; Thermographic vision; Allergy, sunlight, mild</t>
  </si>
  <si>
    <t>Unicorn Fish</t>
  </si>
  <si>
    <t>7S, +1 reach</t>
  </si>
  <si>
    <t>Final Rating</t>
  </si>
  <si>
    <t>Stuns with strobing light.  -5 for 3 rounds and 3 points of damage.</t>
  </si>
  <si>
    <t>Grip/climb any surface.  Ebba destroys weave automatically.</t>
  </si>
  <si>
    <t>Influence; Enhanced attributes; E-hearing; E-smell; Low light vision; Vision acuity; Essence drain; Fear; Innume to age, pathogens, poison; Infection; Regeneration; Allergy to sunlight, severe; Essence loss, Vulnerability to ferrous metals</t>
  </si>
  <si>
    <t>Aardwolf</t>
  </si>
  <si>
    <t>4*</t>
  </si>
  <si>
    <t>Defensive Values</t>
  </si>
  <si>
    <t>Base Defense</t>
  </si>
  <si>
    <t>Psionics</t>
  </si>
  <si>
    <t>151-200</t>
  </si>
  <si>
    <t>Medium Crossbow</t>
  </si>
  <si>
    <t>Heavy Crossbow</t>
  </si>
  <si>
    <t>2d6x2d6x30</t>
  </si>
  <si>
    <t>Damaging poison, con test vs. damage for half-damage.</t>
  </si>
  <si>
    <t>Orb levitates whoever holds it 12' up in 2 rounds.</t>
  </si>
  <si>
    <t>Immunity to fire, Venom; Makes 2 attacks per action, one with claws, one with stinger; environment may increase lethality of venom (see text)</t>
  </si>
  <si>
    <t>Meute Meurtriere (Murderous Pack)</t>
    <phoneticPr fontId="6" type="noConversion"/>
  </si>
  <si>
    <t>Wisenta Montana</t>
    <phoneticPr fontId="6" type="noConversion"/>
  </si>
  <si>
    <t>Tirane</t>
    <phoneticPr fontId="6" type="noConversion"/>
  </si>
  <si>
    <t>Acre - Provincia do Brasil P20</t>
    <phoneticPr fontId="6" type="noConversion"/>
  </si>
  <si>
    <t>Gobo</t>
    <phoneticPr fontId="6" type="noConversion"/>
  </si>
  <si>
    <t>The Northeast - Provincia do Brasil P21</t>
    <phoneticPr fontId="6" type="noConversion"/>
  </si>
  <si>
    <t>Feimarmon</t>
    <phoneticPr fontId="6" type="noConversion"/>
  </si>
  <si>
    <t>Notable Native Fauna of Nouvelle Provence P7</t>
    <phoneticPr fontId="6" type="noConversion"/>
  </si>
  <si>
    <t>Razor Flies</t>
    <phoneticPr fontId="6" type="noConversion"/>
  </si>
  <si>
    <t>Screwworms</t>
    <phoneticPr fontId="6" type="noConversion"/>
  </si>
  <si>
    <t>Sand Screws</t>
    <phoneticPr fontId="6" type="noConversion"/>
  </si>
  <si>
    <t>Bush Bunny</t>
    <phoneticPr fontId="6" type="noConversion"/>
  </si>
  <si>
    <t>Brazilian Islands - Provincia do Brasil P22</t>
    <phoneticPr fontId="6" type="noConversion"/>
  </si>
  <si>
    <t>Monosugrande</t>
    <phoneticPr fontId="6" type="noConversion"/>
  </si>
  <si>
    <t>Compulsion (LOS), Engulf, Enhanced Movement, Low-light vision, sonar; Dietary requirement human/metahuman flesh; adhesive secretions, see text; Note Quickness multiplier for swimming is 5</t>
  </si>
  <si>
    <t>European Gargoyle</t>
  </si>
  <si>
    <t>Goblin Spider</t>
  </si>
  <si>
    <t>Orb attachs and drains 1/2 remaining psychic stamina each round.</t>
  </si>
  <si>
    <t>Knocks out target for 1 minute per difference in constitution test.</t>
  </si>
  <si>
    <t>Jaguar</t>
    <phoneticPr fontId="6" type="noConversion"/>
  </si>
  <si>
    <t>1-4</t>
    <phoneticPr fontId="6" type="noConversion"/>
  </si>
  <si>
    <t>Aggressive</t>
    <phoneticPr fontId="6" type="noConversion"/>
  </si>
  <si>
    <t>1 M</t>
    <phoneticPr fontId="0" type="noConversion"/>
  </si>
  <si>
    <t>Partial</t>
    <phoneticPr fontId="0" type="noConversion"/>
  </si>
  <si>
    <t>Confusion (Zone X 3), Enhanced Strength three times per day for [Essence]D6 turns, Low-light vision, Thermographic vision, Immune to Illusion spells</t>
  </si>
  <si>
    <t>Wraith</t>
  </si>
  <si>
    <t>12(A)</t>
  </si>
  <si>
    <t>11S</t>
  </si>
  <si>
    <t>Scragger</t>
  </si>
  <si>
    <t>Wyrd Mantis, Male</t>
  </si>
  <si>
    <t>1 claw or 2 claws</t>
  </si>
  <si>
    <t>knife-5 or knife-3</t>
  </si>
  <si>
    <t>7 or 14</t>
  </si>
  <si>
    <t>claw venom that prevents healing</t>
  </si>
  <si>
    <t>Skin</t>
    <phoneticPr fontId="0" type="noConversion"/>
  </si>
  <si>
    <t>Goblin</t>
  </si>
  <si>
    <t>E-movement; E-quickness 4/day for essence D6 turns</t>
  </si>
  <si>
    <t>Talis Cat I</t>
  </si>
  <si>
    <t>Reaction better one level.  On failure, reaction worse one level.</t>
  </si>
  <si>
    <t>Talis Cat II</t>
  </si>
  <si>
    <t>&lt;50%</t>
  </si>
  <si>
    <t>Flame Jackal</t>
  </si>
  <si>
    <t>Concealment (Personal), Spraying (Special, 1/4 normal range)</t>
  </si>
  <si>
    <t>Ghede Fly</t>
  </si>
  <si>
    <t>2L Female, 4L Male</t>
  </si>
  <si>
    <t>Enhaced Strength once per day for [Essence/2]D6 turns, Improved smell, low-light vision, Fear (LOS), Pestilence (on 6 result of 2D6)</t>
  </si>
  <si>
    <t>Manifestation, Cold Aura, Illusion, Noxious Breath, Paralyzing Touch, Psychokinesis, Silence; Weakness: Essence Loss</t>
  </si>
  <si>
    <t>18-19</t>
  </si>
  <si>
    <t>1-2</t>
  </si>
  <si>
    <t>9-17</t>
  </si>
  <si>
    <t>19-20</t>
  </si>
  <si>
    <t>NA</t>
    <phoneticPr fontId="0" type="noConversion"/>
  </si>
  <si>
    <t>paralysis</t>
    <phoneticPr fontId="0" type="noConversion"/>
  </si>
  <si>
    <t>d6</t>
    <phoneticPr fontId="0" type="noConversion"/>
  </si>
  <si>
    <t>Requintueur</t>
    <phoneticPr fontId="6" type="noConversion"/>
  </si>
  <si>
    <t>Aurore Sourcebook P24</t>
    <phoneticPr fontId="6" type="noConversion"/>
  </si>
  <si>
    <t>Initiative Dice 3D6, Neuro-Stun VIII nerve toxin on web</t>
  </si>
  <si>
    <t>11-40</t>
  </si>
  <si>
    <t>51-60</t>
  </si>
  <si>
    <t>Toughness</t>
    <phoneticPr fontId="0"/>
  </si>
  <si>
    <t>Saint Tyraine Caribe's Corner of Tirane P14</t>
    <phoneticPr fontId="6" type="noConversion"/>
  </si>
  <si>
    <t>Green Stuff</t>
    <phoneticPr fontId="6" type="noConversion"/>
  </si>
  <si>
    <t>Screecher</t>
    <phoneticPr fontId="6" type="noConversion"/>
  </si>
  <si>
    <t>Chameleon Roach</t>
    <phoneticPr fontId="6" type="noConversion"/>
  </si>
  <si>
    <t>Creature</t>
  </si>
  <si>
    <t>Tail Spikes</t>
  </si>
  <si>
    <t>41-50</t>
  </si>
  <si>
    <t>15-18</t>
  </si>
  <si>
    <t>9-14</t>
  </si>
  <si>
    <t>Limbes Cruitay</t>
    <phoneticPr fontId="6" type="noConversion"/>
  </si>
  <si>
    <t>Monusupia</t>
    <phoneticPr fontId="6" type="noConversion"/>
  </si>
  <si>
    <t>Target faints. Duration 1 minute per difference in constitution test.</t>
  </si>
  <si>
    <t>Accident; Alienation; Corrosive secretions; Engulf; Fear; Manifestion; Movement; Search</t>
  </si>
  <si>
    <t>Troglodyte</t>
  </si>
  <si>
    <t>Corrosive saliva; Low-light vision</t>
  </si>
  <si>
    <t>Piasma</t>
  </si>
  <si>
    <t>Sewer Gator</t>
  </si>
  <si>
    <t>Colonial Atlas P49</t>
  </si>
  <si>
    <t>Colonial Atlas P38</t>
  </si>
  <si>
    <t>Gallina Desnudo (naked chicken)</t>
    <phoneticPr fontId="6" type="noConversion"/>
  </si>
  <si>
    <t>Stinger</t>
    <phoneticPr fontId="6" type="noConversion"/>
  </si>
  <si>
    <t>Corrosive saliva; Immunity to pathogens; Immunity to poison; Regeneration; Note burrowing multiplier is .25 for soft rock and .125 for hard rock</t>
  </si>
  <si>
    <t>Accident; Concealment; Confusion; Fear; Guard</t>
  </si>
  <si>
    <t>Concealment (when in or within 10 Meters of water); Vulnerability, cold, mild.</t>
  </si>
  <si>
    <t>Tzitsimine</t>
  </si>
  <si>
    <t>Seduction</t>
  </si>
  <si>
    <t>Shadowing</t>
  </si>
  <si>
    <t>Forced March</t>
  </si>
  <si>
    <t>2D6</t>
  </si>
  <si>
    <t>Taunt</t>
  </si>
  <si>
    <t>1D6-5</t>
  </si>
  <si>
    <t>Each-Uisge</t>
  </si>
  <si>
    <t>Melee Attacks</t>
  </si>
  <si>
    <t>Venom; Note rolling multiplier is 5</t>
  </si>
  <si>
    <t>Fatigue Points:</t>
  </si>
  <si>
    <t>Depletion Points:</t>
  </si>
  <si>
    <t>Corps Cadavre</t>
  </si>
  <si>
    <t>*</t>
  </si>
  <si>
    <t>Low-light vision; Thermographic vision</t>
  </si>
  <si>
    <t>Salamander</t>
  </si>
  <si>
    <t>Low-light vision; Sonic projection, high-frequency</t>
  </si>
  <si>
    <t>Rock Lizard</t>
  </si>
  <si>
    <t>Immunity to Poison; Venom</t>
  </si>
  <si>
    <t>Rockworm</t>
  </si>
  <si>
    <t>Troll</t>
  </si>
  <si>
    <t>Psychology</t>
  </si>
  <si>
    <t>Obnoxious</t>
  </si>
  <si>
    <t>Kick</t>
  </si>
  <si>
    <t>thombo +3</t>
  </si>
  <si>
    <t>Corondon</t>
  </si>
  <si>
    <t>Carnivore</t>
  </si>
  <si>
    <t>Manic</t>
  </si>
  <si>
    <t>Disguise</t>
  </si>
  <si>
    <t>Detect Weapon</t>
  </si>
  <si>
    <t>Threat:</t>
  </si>
  <si>
    <t>Special Attack</t>
  </si>
  <si>
    <t>Lightning/Heat/Flaming bolt.</t>
  </si>
  <si>
    <t>Orb lights 10X10 room for 1 hour.  A dim orb lasts 24 hours.</t>
  </si>
  <si>
    <t>Leopard</t>
  </si>
  <si>
    <t>5**</t>
  </si>
  <si>
    <t>9S</t>
  </si>
  <si>
    <t>Rat</t>
  </si>
  <si>
    <t>2L, -1 Reach</t>
  </si>
  <si>
    <t>Rhinoceros</t>
  </si>
  <si>
    <t>11D</t>
  </si>
  <si>
    <t>Seal</t>
  </si>
  <si>
    <t>4M</t>
  </si>
  <si>
    <t>1' Orb slowly moves, pushes things with a few pounds of force.</t>
  </si>
  <si>
    <t>Spitting Pike</t>
  </si>
  <si>
    <t>V = Varies, see text; many powers, see text</t>
  </si>
  <si>
    <t>1M</t>
  </si>
  <si>
    <t>Pferdvogel (horsebird)</t>
    <phoneticPr fontId="6" type="noConversion"/>
  </si>
  <si>
    <t>Hummer</t>
    <phoneticPr fontId="6" type="noConversion"/>
  </si>
  <si>
    <t>Papageitaucher</t>
    <phoneticPr fontId="6" type="noConversion"/>
  </si>
  <si>
    <t>Coiso</t>
    <phoneticPr fontId="6" type="noConversion"/>
  </si>
  <si>
    <t>Brazilian Islands - Provincia do Brasil P21</t>
    <phoneticPr fontId="6" type="noConversion"/>
  </si>
  <si>
    <t>Rinn do Sur</t>
    <phoneticPr fontId="6" type="noConversion"/>
  </si>
  <si>
    <t>Suzero Oro</t>
    <phoneticPr fontId="6" type="noConversion"/>
  </si>
  <si>
    <t>P(pseudo)-sharks</t>
    <phoneticPr fontId="6" type="noConversion"/>
  </si>
  <si>
    <t>Bite</t>
    <phoneticPr fontId="0" type="noConversion"/>
  </si>
  <si>
    <t>Large orb envelops target and lifts it a few feet off the ground.</t>
  </si>
  <si>
    <t>Blast of heat like a fireball 3 meters in radius.</t>
  </si>
  <si>
    <t>Heidelsheimat</t>
    <phoneticPr fontId="6" type="noConversion"/>
  </si>
  <si>
    <t>Pegasus</t>
  </si>
  <si>
    <t>Creates 5 small orbs that damage like Cast Energy.</t>
  </si>
  <si>
    <t>Heals.  May be used 2X per day on one target.</t>
  </si>
  <si>
    <t>Engulf; Magical resistance; Movement; Allergy, mercury, extreme; Vulnerability, mercury; Note swimming multiplier is 5</t>
  </si>
  <si>
    <t>Nomad</t>
  </si>
  <si>
    <t>Oracle Owl</t>
  </si>
  <si>
    <t>Improved hearing; Weather control (flock only); Note dual being only when in a flock of six or more stormcrows</t>
  </si>
  <si>
    <t>Tachypus</t>
  </si>
  <si>
    <t>Medium Hide</t>
    <phoneticPr fontId="6" type="noConversion"/>
  </si>
  <si>
    <t>Claw</t>
    <phoneticPr fontId="6" type="noConversion"/>
  </si>
  <si>
    <t>Bite</t>
    <phoneticPr fontId="6" type="noConversion"/>
  </si>
  <si>
    <t>Rock Dragon</t>
    <phoneticPr fontId="6" type="noConversion"/>
  </si>
  <si>
    <t>Beowulf</t>
    <phoneticPr fontId="6" type="noConversion"/>
  </si>
  <si>
    <t>Colonial Atlas P34</t>
  </si>
  <si>
    <t>Climb</t>
    <phoneticPr fontId="6" type="noConversion"/>
  </si>
  <si>
    <t>Confusion (Zone X 2), Fear (Zone X 2), Immunity to Pathogens and Poisons, Influence (Zone X 2), Magical Resistance, Magic Sense, Manifestation; Note acts as a free spirit with a spirit energy rating.  See text</t>
  </si>
  <si>
    <t>E-strength 1/day for essence 3D6 turns; Improved hearing; Improved smell</t>
  </si>
  <si>
    <t>New Leatherback</t>
  </si>
  <si>
    <t>Leviathan</t>
  </si>
  <si>
    <t>6D Stun</t>
  </si>
  <si>
    <t>Bayard</t>
  </si>
  <si>
    <t>Thermographic vision; Dietary requirement, molybdenum</t>
  </si>
  <si>
    <t>Bloatform</t>
  </si>
  <si>
    <t>Dakkaryne</t>
  </si>
  <si>
    <t>Wyvern</t>
  </si>
  <si>
    <t>Enhanced Reaction three times per day for [Essence]D6 turns; Dietary requirement citric acid; Note Quickness multiplier for flying is 8</t>
  </si>
  <si>
    <t>Flame projection (special, aura to Essence/2 meters), Immunity to fire</t>
  </si>
  <si>
    <t>Deer</t>
  </si>
  <si>
    <t>Cockatrice</t>
  </si>
  <si>
    <t>8M</t>
  </si>
  <si>
    <t>Dog, Large</t>
  </si>
  <si>
    <t>6M</t>
  </si>
  <si>
    <t>Animal Control (Equines), Empathy (LOS), Enhaced Movement, Mist Form (Adults only), Noxious Breath, Sonic Projection (Stallions only); Quickness multiplier for flying in mist form is 7</t>
  </si>
  <si>
    <t>Hengeyokai, Inu</t>
  </si>
  <si>
    <t>Hengeyokai, Kitsune</t>
  </si>
  <si>
    <t>Hengeyokai, Neko</t>
  </si>
  <si>
    <t>11-20</t>
  </si>
  <si>
    <t>21-30</t>
  </si>
  <si>
    <t>Corrosive Saliva, Desire Reflection</t>
  </si>
  <si>
    <t>Deflector+ the bolt or orb is sent back to original caster.</t>
  </si>
  <si>
    <t>Powers, special, see text</t>
  </si>
  <si>
    <t>Satyr</t>
  </si>
  <si>
    <t>Bubble envelops target. AV30, HP30. Pass through moving slowly.</t>
  </si>
  <si>
    <t>Aggressive</t>
  </si>
  <si>
    <t>Temperament</t>
  </si>
  <si>
    <t>Alienation (Zone X 3), Corrosive Saliva, Corrosive Secretions, Engulf, Immune to pathogens and poisons, Search; Dietary requirement dioxins, trace only; Note Quickness multiplier for swimming is 5</t>
  </si>
  <si>
    <t>Engulf, Immunity to Toxins</t>
  </si>
  <si>
    <t>15-20</t>
  </si>
  <si>
    <t>Throw Rock</t>
  </si>
  <si>
    <t>Hengeyokai, Tanuki</t>
  </si>
  <si>
    <t>Improved Smell and Taste, Essence Drain (Permanent), Fire Resistance; Allergy (Sunlight, Mild), Vulnerability (Iron)</t>
  </si>
  <si>
    <t>Golden Boar</t>
  </si>
  <si>
    <t>Preparing to attack</t>
  </si>
  <si>
    <t>Preparing</t>
  </si>
  <si>
    <t>Ferocious</t>
  </si>
  <si>
    <t>Wingbeat</t>
  </si>
  <si>
    <t>Attack</t>
  </si>
  <si>
    <t>Chamax Lesser Hunter</t>
  </si>
  <si>
    <t>Chamax Juvenile Maternal</t>
  </si>
  <si>
    <t>Chamax Maternal</t>
  </si>
  <si>
    <t>4d6</t>
  </si>
  <si>
    <t>Spell/Psychic Defense</t>
    <phoneticPr fontId="0"/>
  </si>
  <si>
    <t>Defense</t>
    <phoneticPr fontId="7"/>
  </si>
  <si>
    <t>Active Defense</t>
    <phoneticPr fontId="7"/>
  </si>
  <si>
    <t>Target's limbs fully extend. Str test or drop carried, Agil test or fall.</t>
  </si>
  <si>
    <t>Colonial Atlas P12</t>
  </si>
  <si>
    <t>D6+</t>
  </si>
  <si>
    <t>Silent Kill</t>
  </si>
  <si>
    <t>Sling</t>
  </si>
  <si>
    <t>Kludde: Feline</t>
  </si>
  <si>
    <t>Armor</t>
  </si>
  <si>
    <t>Head</t>
  </si>
  <si>
    <t>Limbs</t>
  </si>
  <si>
    <t>Body</t>
  </si>
  <si>
    <t>Belly</t>
  </si>
  <si>
    <t>Wings</t>
  </si>
  <si>
    <t>Essence drain; Immunity to normal weapons; Manifestation; Movement decrease in swamps and marshes; Psychokinesis; Regeneration; Essence loss</t>
  </si>
  <si>
    <t>Deathrattle</t>
  </si>
  <si>
    <t>E-quickness; Improved vision; Low-light vision; Immunity to cold; Silence</t>
  </si>
  <si>
    <t>Hardened Armor; Concealment, self only; E-strength 1/day for 5D6 turns; Noxious breath; Vulnerability, iron; Note flying multiplier is 4</t>
  </si>
  <si>
    <t>Immune to pathogens, poisons, mana spells &amp; similar powers; Allergy, sunlight, severe; Wounds do not affect target modifiers; body and strength are equal to the original body -1, minimum of 1</t>
  </si>
  <si>
    <t>Crested Barbarian</t>
  </si>
  <si>
    <t>Banshee</t>
  </si>
  <si>
    <t>V = Varies; powers, see text</t>
  </si>
  <si>
    <t>Quicksilver Mongoose</t>
  </si>
  <si>
    <t>1-6</t>
  </si>
  <si>
    <t>10S, +1 Reach</t>
  </si>
  <si>
    <t>14D, +2 Reach</t>
  </si>
  <si>
    <t>Motion detection; Immunity to poison; Paralyzing touch; Allergy, unpolluted water, mild; Reduced vision; Note swimming multiplier is 5</t>
  </si>
  <si>
    <t>Hoop Snake</t>
  </si>
  <si>
    <t>Adlerhorst Albatross</t>
    <phoneticPr fontId="6" type="noConversion"/>
  </si>
  <si>
    <t>Kamelinsekts</t>
    <phoneticPr fontId="6" type="noConversion"/>
  </si>
  <si>
    <t>Noxious Breath</t>
    <phoneticPr fontId="0" type="noConversion"/>
  </si>
  <si>
    <t>Flying Blinds</t>
    <phoneticPr fontId="6" type="noConversion"/>
  </si>
  <si>
    <t>Summoning</t>
  </si>
  <si>
    <t>Surveillance</t>
  </si>
  <si>
    <t>Psychic Energy</t>
  </si>
  <si>
    <t>Claw</t>
    <phoneticPr fontId="0" type="noConversion"/>
  </si>
  <si>
    <t>Animal Control (Fish, Aquatic Mammals), Compulsion (Zone X 5), Dismissal (Zone X 5), Empathy (LOS), Engulf, Sonar, Immunity to Normal Weapons, Influence (LOS), Magic Sense, Search, Sonic Projection; Dietary requirement krill</t>
  </si>
  <si>
    <t>E-strength/quickness, each 1/day for essence D6 turns; E-reaction; Thermographic vision; Wide-band hearing; Allergy, sunlight, nuisance</t>
  </si>
  <si>
    <t>Pricuricu</t>
  </si>
  <si>
    <t>1L</t>
  </si>
  <si>
    <t>9A</t>
  </si>
  <si>
    <t>Wound Level at Damage</t>
  </si>
  <si>
    <t>NA</t>
  </si>
  <si>
    <t>Alerness</t>
    <phoneticPr fontId="6" type="noConversion"/>
  </si>
  <si>
    <t>Scrambles psychic skills, prevents spellcasting.</t>
  </si>
  <si>
    <t>Darkness; Low-light vision; Silence; Allergy, sunlight, severe</t>
  </si>
  <si>
    <t>Siren</t>
  </si>
  <si>
    <t>8L</t>
  </si>
  <si>
    <t>Enhanced Strength twice per day for [Essence]2D6 turns, improved hearing and smell, low-light vision, Fear (Zone X 3), Magical Resistance</t>
  </si>
  <si>
    <t>Elephant</t>
  </si>
  <si>
    <t>2d6xd6</t>
  </si>
  <si>
    <t>screetch</t>
  </si>
  <si>
    <t>Thombo</t>
  </si>
  <si>
    <t>knife-2, bite</t>
  </si>
  <si>
    <t>Lightning Armor, Twinbolts</t>
  </si>
  <si>
    <t>Ogre</t>
  </si>
  <si>
    <t>Cat, Wild</t>
  </si>
  <si>
    <t>4M, -1 Reach</t>
  </si>
  <si>
    <t>Special</t>
  </si>
  <si>
    <t>Rapport</t>
  </si>
  <si>
    <t>won't fly during isho storm</t>
  </si>
  <si>
    <t>Tarro</t>
  </si>
  <si>
    <t>Desire reflection (self, cheetah only); E-movement; E-quickness; E-body; E-strength; E-reactions; Low-light vision</t>
  </si>
  <si>
    <t>Torpedo Shark</t>
  </si>
  <si>
    <t>7</t>
  </si>
  <si>
    <t>E-quickness 3/day for essence-2 D6 turns; Improved smell</t>
  </si>
  <si>
    <t>Cave Crab</t>
  </si>
  <si>
    <t>Accident; Alienation; Concealment; Guard; Movement; Search</t>
  </si>
  <si>
    <t xml:space="preserve">Weaving/Spinning </t>
  </si>
  <si>
    <t>Wodewose</t>
  </si>
  <si>
    <t>(6)/6</t>
  </si>
  <si>
    <t>Peryton</t>
  </si>
  <si>
    <t>Scintillant Albatross</t>
  </si>
  <si>
    <t>Scorpyrine</t>
  </si>
  <si>
    <t>Electrical projection; Low-light vision; Weather control (electrical storms); Note flying multiplier is 4</t>
  </si>
  <si>
    <t>Accident; Concealment; Guard; Movement; Search</t>
  </si>
  <si>
    <t xml:space="preserve">     Prairie Spirit</t>
  </si>
  <si>
    <t>Paralyzing touch; Note swimming multiplier is 4</t>
  </si>
  <si>
    <t>Low-light vision; Venom; Allergy, pollution, mild</t>
  </si>
  <si>
    <t>Megalodon</t>
  </si>
  <si>
    <t>Low-Light vision; Immunity to poisons; Influence (fear); Venom; Note flying multiplier is 6</t>
  </si>
  <si>
    <t>Thermographic vision; Immunity to poisons; Venom</t>
  </si>
  <si>
    <t>Wide-band hearing; Flame projection; Immunity to fire</t>
  </si>
  <si>
    <t>0-2</t>
  </si>
  <si>
    <t>3-5</t>
  </si>
  <si>
    <t>Devil Jack Diamond</t>
  </si>
  <si>
    <t>New Boar</t>
  </si>
  <si>
    <t>1-12</t>
  </si>
  <si>
    <t>13-14</t>
  </si>
  <si>
    <t>Cougar</t>
  </si>
  <si>
    <t>D10</t>
  </si>
  <si>
    <t>Reach</t>
  </si>
  <si>
    <t>Endurance Skill</t>
  </si>
  <si>
    <t>Dying</t>
  </si>
  <si>
    <t>Lethal Damage</t>
  </si>
  <si>
    <t>Critter Species</t>
  </si>
  <si>
    <t>7(A)</t>
  </si>
  <si>
    <t>Bulldog Stoat</t>
  </si>
  <si>
    <t>5d6</t>
  </si>
  <si>
    <t>Until Escape</t>
  </si>
  <si>
    <t>Brocken Bow</t>
  </si>
  <si>
    <t>Stuns with strobing light.  -5 for 3 rounds and 3 points of damage.  Save = covered eyes in time.</t>
  </si>
  <si>
    <t>Animal control (buffalo); Improved hearing; Improved smell; Immunity to pathogens; Search; Allergy, pollutants, severe</t>
  </si>
  <si>
    <t>Metahuman, Dwarf</t>
  </si>
  <si>
    <t>F+2</t>
  </si>
  <si>
    <t>Intuition</t>
  </si>
  <si>
    <t>Recon/Scout</t>
  </si>
  <si>
    <t>Tusk</t>
  </si>
  <si>
    <t>Antlers</t>
  </si>
  <si>
    <t>Crush</t>
  </si>
  <si>
    <t>4 claws, bite</t>
  </si>
  <si>
    <t>sword, bite</t>
  </si>
  <si>
    <t>Total</t>
  </si>
  <si>
    <t>Init Penalty</t>
  </si>
  <si>
    <t>Base Reach</t>
  </si>
  <si>
    <t>Nature Spirit, Land</t>
  </si>
  <si>
    <t>Weeks</t>
  </si>
  <si>
    <t>Months</t>
  </si>
  <si>
    <t>Instantaneous</t>
  </si>
  <si>
    <t>Years</t>
  </si>
  <si>
    <t>Permanent</t>
  </si>
  <si>
    <t>Energy Required</t>
  </si>
  <si>
    <t>Birdman</t>
  </si>
  <si>
    <t>Distance Attacks</t>
  </si>
  <si>
    <t>Low-light vision, Thermographic vision, Magic Sense, Search</t>
  </si>
  <si>
    <t>Increment</t>
  </si>
  <si>
    <t>Effect Dice</t>
  </si>
  <si>
    <t>Cold aura; Improved vision; Immunity to cold; Allergy, fire, mild</t>
  </si>
  <si>
    <t>Incubus</t>
  </si>
  <si>
    <t>5S, -1 Reach</t>
  </si>
  <si>
    <t>sword</t>
  </si>
  <si>
    <t xml:space="preserve"> hour</t>
  </si>
  <si>
    <t xml:space="preserve"> sec</t>
  </si>
  <si>
    <t>10mr</t>
  </si>
  <si>
    <t>Encounter</t>
  </si>
  <si>
    <t>Skill</t>
  </si>
  <si>
    <t>Attribute</t>
  </si>
  <si>
    <t>Streetwise</t>
  </si>
  <si>
    <t>Orb of intense heat.</t>
  </si>
  <si>
    <t>mph</t>
  </si>
  <si>
    <t>Tonfa</t>
  </si>
  <si>
    <t>Torture</t>
  </si>
  <si>
    <t>Tracking</t>
  </si>
  <si>
    <t>Trample</t>
  </si>
  <si>
    <t>Impact Rating</t>
  </si>
  <si>
    <t>Hypnotize</t>
  </si>
  <si>
    <t>Point Blank</t>
  </si>
  <si>
    <t>Impact</t>
  </si>
  <si>
    <t>(2D6)</t>
  </si>
  <si>
    <t>Wolf</t>
  </si>
  <si>
    <t xml:space="preserve">Males: Confusion (Zone X2), Darkness, Improved Smell, Sonar, Thermographic Vision, Immunity to Pathogens, Magic Sense, Search; Females:  Esssence Drain (Temporary), Immunity to pathogens, Pestilence; Dietary requirement human/metahuman blood, </t>
  </si>
  <si>
    <t>Fear; Paralyzing Howl; Sonar; Allergy Sunlight, Severe</t>
  </si>
  <si>
    <t>Running multiplier on land is 2.</t>
  </si>
  <si>
    <t>Shark, Large</t>
  </si>
  <si>
    <t>12D</t>
  </si>
  <si>
    <t>Shark, Typical</t>
  </si>
  <si>
    <t>10S</t>
  </si>
  <si>
    <t>Tiger</t>
  </si>
  <si>
    <t>6**</t>
  </si>
  <si>
    <t>Icedrake</t>
  </si>
  <si>
    <t>Cerberus Hound</t>
  </si>
  <si>
    <t>Presence</t>
  </si>
  <si>
    <t>Bonus</t>
  </si>
  <si>
    <t>Base</t>
  </si>
  <si>
    <t>Conceal</t>
  </si>
  <si>
    <t>Human</t>
  </si>
  <si>
    <t>7M</t>
  </si>
  <si>
    <t>Meistersinger</t>
  </si>
  <si>
    <t>Elemental, Air</t>
  </si>
  <si>
    <t>Scrade/Wasto</t>
  </si>
  <si>
    <t>10D, +1 Reach</t>
  </si>
  <si>
    <t>Fox</t>
  </si>
  <si>
    <t>Goat</t>
  </si>
  <si>
    <t>3L</t>
  </si>
  <si>
    <t>Horse</t>
  </si>
  <si>
    <t>toxic bite</t>
  </si>
  <si>
    <t>Slutch</t>
  </si>
  <si>
    <t xml:space="preserve">gas explosion </t>
  </si>
  <si>
    <t>bite +3</t>
  </si>
  <si>
    <t>Talmaron</t>
  </si>
  <si>
    <t>Melee Damage Ratings</t>
  </si>
  <si>
    <t>16D, +3 Reach</t>
  </si>
  <si>
    <t>Grip/climb any surface.  Duration 1 minute.  Ebba destroys weave automatically, so ebba crystals used in walls where concern.</t>
  </si>
  <si>
    <t>F-2</t>
  </si>
  <si>
    <t>F-3</t>
  </si>
  <si>
    <t>F</t>
  </si>
  <si>
    <t>(F)A</t>
  </si>
  <si>
    <t>Orb attachs and drains 1/2 remaining isho each round for 3 rounds</t>
  </si>
  <si>
    <t>Dog, Small</t>
  </si>
  <si>
    <t>Nature Spirit, Water</t>
  </si>
  <si>
    <t xml:space="preserve">     Lake Spirit</t>
  </si>
  <si>
    <t>Underwater Combat</t>
  </si>
  <si>
    <t>Wild Minotaur</t>
  </si>
  <si>
    <t>7D, +1 Reach</t>
  </si>
  <si>
    <t>Giggit Stage 3</t>
  </si>
  <si>
    <t>2 arms, bite</t>
  </si>
  <si>
    <t>Harn</t>
  </si>
  <si>
    <t>sandblast</t>
  </si>
  <si>
    <t>club-2 X2</t>
  </si>
  <si>
    <t>d6+6</t>
  </si>
  <si>
    <t>Herbivore</t>
  </si>
  <si>
    <t>Apathetic</t>
  </si>
  <si>
    <t>Light, Strobe Light</t>
  </si>
  <si>
    <t>Heat Attack, Immune to fire</t>
  </si>
  <si>
    <t>Gate Hound</t>
  </si>
  <si>
    <t>Magic Drain</t>
  </si>
  <si>
    <t>Aura Reading</t>
  </si>
  <si>
    <t>lirgin beetles parasites</t>
  </si>
  <si>
    <t>Giggit Stage 2</t>
  </si>
  <si>
    <t>Corrosive Secretions, Enhanced Strength three times per day by Essence/2 for [Essence]D6 turns, Thermographic Vision, Magical Resistance; Allergy (Air Pollution, Severe), Allergy (Sunlight, Nuisance)</t>
  </si>
  <si>
    <t>Foulmart</t>
  </si>
  <si>
    <t>Abrams Lobster</t>
  </si>
  <si>
    <t>Toxic Earth Spirit</t>
  </si>
  <si>
    <t>Bear</t>
  </si>
  <si>
    <t>8M Crush/6S Bite</t>
  </si>
  <si>
    <t>Lesser Thunderbird</t>
  </si>
  <si>
    <t>Improved vision; Low-light vision; Immunity to pathogens; Immunity to poisons</t>
  </si>
  <si>
    <t>See through walls up to 6' thick for 10 seconds.</t>
  </si>
  <si>
    <t>Tortoise</t>
  </si>
  <si>
    <t>Basilisk</t>
  </si>
  <si>
    <t>Killing Glare</t>
  </si>
  <si>
    <t>Magical Guard; Immunity to pathogens; Allergy to pollutants, severe</t>
  </si>
  <si>
    <t>Athletics, Acrobat</t>
  </si>
  <si>
    <t>See Text</t>
  </si>
  <si>
    <t>Stymphalian</t>
  </si>
  <si>
    <t>Tarantella</t>
  </si>
  <si>
    <t>Vampiric Pawn</t>
  </si>
  <si>
    <t>1D6</t>
  </si>
  <si>
    <t>Lesser Roc</t>
  </si>
  <si>
    <t>Immunity to pathogents; Magical resistance</t>
  </si>
  <si>
    <t>White Buffalo</t>
  </si>
  <si>
    <t>2d6</t>
  </si>
  <si>
    <t>3d6+5</t>
  </si>
  <si>
    <t>Improved smell; Regeneration</t>
  </si>
  <si>
    <t>Mermaid</t>
  </si>
  <si>
    <t>6D, +1 Reach</t>
  </si>
  <si>
    <t>D10+</t>
  </si>
  <si>
    <t>Acting</t>
  </si>
  <si>
    <t>Nature Spirit, Sky</t>
  </si>
  <si>
    <t>Howl</t>
  </si>
  <si>
    <t>Fomorian</t>
  </si>
  <si>
    <t>Devil Rat</t>
  </si>
  <si>
    <t>4L, -1 Reach</t>
  </si>
  <si>
    <t>Munchkin</t>
  </si>
  <si>
    <t>No</t>
  </si>
  <si>
    <t>Despairthought</t>
  </si>
  <si>
    <t>Hate</t>
  </si>
  <si>
    <t>Kreesca</t>
  </si>
  <si>
    <t>Mindslug</t>
  </si>
  <si>
    <t>3M, +1 Reach</t>
  </si>
  <si>
    <t>bellow, fear</t>
  </si>
  <si>
    <t>Concealment (Personal), Enhanced Quickness 2 X per day for [Essence]D6 turns, Immunity to pathogens and poisons</t>
  </si>
  <si>
    <t>Many powers, see text</t>
  </si>
  <si>
    <t>Kludde: Canine</t>
  </si>
  <si>
    <t>Hands</t>
  </si>
  <si>
    <t>8D, +1 Reach</t>
  </si>
  <si>
    <t>bite, swallow, dysha</t>
  </si>
  <si>
    <t>desta, ebba, gobey, du</t>
  </si>
  <si>
    <t>6d6x10</t>
  </si>
  <si>
    <t>Ogre Twins</t>
  </si>
  <si>
    <t>Sprinting</t>
  </si>
  <si>
    <t>Insect</t>
  </si>
  <si>
    <t>Mouse</t>
  </si>
  <si>
    <t>Squirrel</t>
  </si>
  <si>
    <t>Concealment (Peersonal), Enhanced Quickness onece per day for [Essence]D6 turns, Magical Resistance, Regeneration; note tusks useful in enchanting operations</t>
  </si>
  <si>
    <t>Material Component</t>
  </si>
  <si>
    <t>Difficulty</t>
  </si>
  <si>
    <t>Easy</t>
  </si>
  <si>
    <t>Effective</t>
  </si>
  <si>
    <t>Long</t>
  </si>
  <si>
    <t>Longbow</t>
  </si>
  <si>
    <t>Wide band hearing; Low Light Eyes; thermal sense; Animal control, reptiles; Influence; Flame Projection; Noxious Breath; Venom; Hardened Armor</t>
  </si>
  <si>
    <t>Effect Factors</t>
  </si>
  <si>
    <t>Thermographic vision</t>
  </si>
  <si>
    <t>Demiwraith</t>
  </si>
  <si>
    <t>Pestilence; Note swimming multiplier is 3</t>
  </si>
  <si>
    <t>Defense Rank</t>
  </si>
  <si>
    <t>Defense size</t>
  </si>
  <si>
    <t>To hit at range</t>
  </si>
  <si>
    <t>Dyshas</t>
  </si>
  <si>
    <t>Effect</t>
  </si>
  <si>
    <t>Number</t>
  </si>
  <si>
    <t>Bean Sidhe</t>
  </si>
  <si>
    <t>6(A)</t>
  </si>
  <si>
    <t>Many magical powers, see text</t>
  </si>
  <si>
    <t>Intuition/Psychic</t>
  </si>
  <si>
    <t>Rank</t>
  </si>
  <si>
    <t>6A</t>
  </si>
  <si>
    <t>Hardened Armor; Sonar; Mimicry</t>
  </si>
  <si>
    <t>Loup-Garou</t>
  </si>
  <si>
    <t>Century Ferret</t>
  </si>
  <si>
    <t>2M</t>
  </si>
  <si>
    <t>Face-down</t>
  </si>
  <si>
    <t>Hunting</t>
  </si>
  <si>
    <t>Until Cured</t>
  </si>
  <si>
    <t>50mr</t>
  </si>
  <si>
    <t>Wyrd Mantis, Female</t>
  </si>
  <si>
    <t>Style</t>
  </si>
  <si>
    <t>Subterfuge</t>
  </si>
  <si>
    <t>Throwing</t>
  </si>
  <si>
    <t>Reduces anagonism one level.  Failure increases antagonism one level.</t>
  </si>
  <si>
    <t>4(6)</t>
  </si>
  <si>
    <t>7(9)</t>
  </si>
  <si>
    <t>Concealment (Personal), Enhaced Strength once per day for [Essence]D6 turns, Hardened armor, Noxious breath; Allergy (sunlight, nuisance), Vulnerabilty (Iron); Note Quickness multiplier for flying is 4</t>
  </si>
  <si>
    <t>Faerie, Domovoi</t>
  </si>
  <si>
    <t>5L, -1 Reach</t>
  </si>
  <si>
    <t>6L, -1 Reach</t>
  </si>
  <si>
    <t>15D, +1 Reach</t>
  </si>
  <si>
    <t>Paralyzing Touch, Invulnerability to own touch</t>
  </si>
  <si>
    <t>Lightning/Heat/Flaming bolt</t>
  </si>
  <si>
    <t>Bolt of cold.</t>
  </si>
  <si>
    <t>4d6xd6</t>
  </si>
  <si>
    <t>Ork</t>
  </si>
  <si>
    <t>Sprite</t>
  </si>
  <si>
    <t>Shield Shatte+ user of shield takes power orb attack each round.</t>
  </si>
  <si>
    <t>Orb strikes shield, 4 pts damage/round.  Lots of light and noise.</t>
  </si>
  <si>
    <t>Nimue's Salamander</t>
  </si>
  <si>
    <t>1L, -1 Reach</t>
  </si>
  <si>
    <t>Nosferatu</t>
  </si>
  <si>
    <t>Alienation; Concealment; Corrosive Secretions; Fear; Manifestation; Noxious breath</t>
  </si>
  <si>
    <t>Toxic Water Spirit</t>
  </si>
  <si>
    <t>Wild Hunt, Leader</t>
  </si>
  <si>
    <t>10**</t>
  </si>
  <si>
    <t>Wild Hunt, Huntsmen</t>
  </si>
  <si>
    <t>8**</t>
  </si>
  <si>
    <t>Fenrir Wolf</t>
  </si>
  <si>
    <t xml:space="preserve">     Mountain Spirit</t>
  </si>
  <si>
    <t>Reroutes orbs and bolts around caster.  Cost 1 per 2 isho of incoming.</t>
  </si>
  <si>
    <t>E-quickness 2/day for essence D6 turns</t>
  </si>
  <si>
    <t>Shadowhound</t>
  </si>
  <si>
    <t>6L</t>
  </si>
  <si>
    <t>Serpent, Saltwater</t>
  </si>
  <si>
    <t>Ice Shackles</t>
  </si>
  <si>
    <t>Trap Setting/Removal</t>
  </si>
  <si>
    <t>E-hearing; Sonar; Sonic Projection; Allergy to sunlight, mild; Reduced vision</t>
  </si>
  <si>
    <t>Black Annis</t>
  </si>
  <si>
    <t>Distance Damage</t>
  </si>
  <si>
    <t>Jehuthra</t>
  </si>
  <si>
    <t>Krilworm</t>
  </si>
  <si>
    <t>Lightning Lizard</t>
  </si>
  <si>
    <t>Melee Attack Total</t>
  </si>
  <si>
    <t>1D6-3</t>
  </si>
  <si>
    <t>1D6-4</t>
  </si>
  <si>
    <t>Concealment; Confusion; Electrical Projection; Fear</t>
  </si>
  <si>
    <t>Shields the caster, AV 20.  Loses 2 pts of AV per minute.  Duration 10 minutes.</t>
  </si>
  <si>
    <t>kick</t>
  </si>
  <si>
    <t>Accident; Engulf; Fear; Guard; Movement; Search</t>
  </si>
  <si>
    <t xml:space="preserve">     River Spirit</t>
  </si>
  <si>
    <t>Size Modifier</t>
  </si>
  <si>
    <t>Athletics, Running</t>
  </si>
  <si>
    <t>Athletics, Swimming</t>
  </si>
  <si>
    <t>Egulf; Manifestation; Movement; Vulnerability to Air</t>
  </si>
  <si>
    <t>thombo kick -1</t>
  </si>
  <si>
    <t>Concealment (Personal); Quickness multiplier for flying is 5</t>
  </si>
  <si>
    <t>Volleying Porcupine</t>
  </si>
  <si>
    <t>Stone Toad</t>
  </si>
  <si>
    <t>Storm Dolphin</t>
  </si>
  <si>
    <t>Thermographic vision; Essence drain; Magical resistance; Alergy, sunlight, mild</t>
  </si>
  <si>
    <t>Embracer</t>
  </si>
  <si>
    <t>Cheetah</t>
  </si>
  <si>
    <t>Crocodile</t>
  </si>
  <si>
    <t>Dog</t>
  </si>
  <si>
    <t>Eagle</t>
  </si>
  <si>
    <t>Gorilla</t>
  </si>
  <si>
    <t>Jaguar</t>
  </si>
  <si>
    <t>Lion</t>
  </si>
  <si>
    <t>Lizard</t>
  </si>
  <si>
    <t>Monkey</t>
  </si>
  <si>
    <t>Metahuman, Elf</t>
  </si>
  <si>
    <t>Low-light vision</t>
  </si>
  <si>
    <t>Metahuman, Ork</t>
  </si>
  <si>
    <t>Wilderness Survival</t>
  </si>
  <si>
    <t>Scaled Hide</t>
  </si>
  <si>
    <t>76-150</t>
  </si>
  <si>
    <t>Changling</t>
  </si>
  <si>
    <t>D</t>
  </si>
  <si>
    <t>D6</t>
  </si>
  <si>
    <t>Moose</t>
  </si>
  <si>
    <t>Snake</t>
  </si>
  <si>
    <t>Swallow</t>
  </si>
  <si>
    <t>Rend</t>
  </si>
  <si>
    <t>Base Damage</t>
  </si>
  <si>
    <t>Firedrake</t>
  </si>
  <si>
    <t>3M</t>
  </si>
  <si>
    <t>Acid secreted on second and subsequent rounds of biting</t>
  </si>
  <si>
    <t>acid splash on death</t>
  </si>
  <si>
    <t xml:space="preserve">     Mist Spirit</t>
  </si>
  <si>
    <t>lightning blast, pentration lightning, suspension orb, power hold</t>
  </si>
  <si>
    <t>Triplicant</t>
  </si>
  <si>
    <t>Copy self</t>
  </si>
  <si>
    <t>Alligator</t>
  </si>
  <si>
    <t>Ape</t>
  </si>
  <si>
    <t>less than 1d6 damage</t>
  </si>
  <si>
    <t>Skin</t>
  </si>
  <si>
    <t>Exoskeleton</t>
  </si>
  <si>
    <t>Shell</t>
  </si>
  <si>
    <t>Special Attacks</t>
  </si>
  <si>
    <t>Bite</t>
  </si>
  <si>
    <t>Tail</t>
  </si>
  <si>
    <t>Rake</t>
  </si>
  <si>
    <t>Alienation (LOS), Blindness (LOS), Desire Reflection (LOS), Fear (LOS, canine form only), Hypnotic Sone (Zone 4, avian form only), Magical Resistance, Magic Sense, Psychokinesis; Allergy (Sunlight, Nuisance); Quickness multiplier for flying is 6</t>
  </si>
  <si>
    <t>Energy Rating</t>
  </si>
  <si>
    <t>Heavy Hide</t>
  </si>
  <si>
    <t>Concealment (Personal), Thermographic Vision, Mimicry (Special), Hypnotic Song, Venom</t>
  </si>
  <si>
    <t>Concealment (Personal), Enhanced Movement, Improved smell, Sonar</t>
  </si>
  <si>
    <t>Centaur</t>
  </si>
  <si>
    <t>Spell Notation Item</t>
  </si>
  <si>
    <t>Quantity</t>
  </si>
  <si>
    <t>Somatic Component</t>
  </si>
  <si>
    <t>Low-light vision, Ogre variant same stats, looks different</t>
  </si>
  <si>
    <t>Compulsion (immobility); Concealment, self only; E-movmement; E-strength/quickness, each 1/day for essence D6 turns; E-reactions; Thermographic vision; Allergy, sunlight, mild</t>
  </si>
  <si>
    <t>Gargoyle</t>
  </si>
  <si>
    <t>(Str)S</t>
  </si>
  <si>
    <t>Aitvaras</t>
  </si>
  <si>
    <t>Hellbender</t>
  </si>
  <si>
    <t>Verjigorm</t>
  </si>
  <si>
    <t>Human Child or Dog</t>
  </si>
  <si>
    <t>Horse, Cow</t>
  </si>
  <si>
    <t>Cat</t>
  </si>
  <si>
    <t>Light Crossbow</t>
  </si>
  <si>
    <t>11-75</t>
  </si>
  <si>
    <t>Composite Bow</t>
  </si>
  <si>
    <t>21-125</t>
  </si>
  <si>
    <t>126-250</t>
  </si>
  <si>
    <t>Bonus/Penalty</t>
  </si>
  <si>
    <t>Isho</t>
  </si>
  <si>
    <t>A+2</t>
  </si>
  <si>
    <t>(A+1)sq</t>
  </si>
  <si>
    <t>Blinds target for 10 seconds</t>
  </si>
  <si>
    <t>Hard</t>
  </si>
  <si>
    <t>Improved smell; Improved vision; Venom</t>
  </si>
  <si>
    <t>Mist Lynx</t>
  </si>
  <si>
    <t>Low-light vision; Mist form</t>
  </si>
  <si>
    <t>Full</t>
  </si>
  <si>
    <t>Heals superficial wound and 2 pts of damage.  May be used 2X per day on one target.</t>
  </si>
  <si>
    <t>Improves night vision.  Lasts 10 seconds.</t>
  </si>
  <si>
    <t>Thorn Men</t>
  </si>
  <si>
    <t xml:space="preserve">     Desert Spirit</t>
  </si>
  <si>
    <t>Concealment; Guard; Movement; Search</t>
  </si>
  <si>
    <t>Physical Attributes</t>
  </si>
  <si>
    <t>Detect Trap</t>
  </si>
  <si>
    <t>Leshy</t>
  </si>
  <si>
    <t>3*</t>
  </si>
  <si>
    <t>Confusion</t>
  </si>
  <si>
    <t>Dead</t>
  </si>
  <si>
    <t>Damage Monitor</t>
  </si>
  <si>
    <t>8S</t>
  </si>
  <si>
    <t>4(6)**</t>
  </si>
  <si>
    <t>Bolt of force that is not slowed by armor.  All damage hits target.</t>
  </si>
  <si>
    <t>Chilling touch/paralysis</t>
  </si>
  <si>
    <t>Cathay Dragon</t>
  </si>
  <si>
    <t>Mortal</t>
  </si>
  <si>
    <t>Moderate</t>
  </si>
  <si>
    <t>Severe</t>
  </si>
  <si>
    <t>Common Dragon</t>
  </si>
  <si>
    <t>Espagra</t>
  </si>
  <si>
    <t>4 tentacles, bite</t>
  </si>
  <si>
    <t>2d6+5</t>
  </si>
  <si>
    <t>Creature Analysis</t>
  </si>
  <si>
    <t>Dodge</t>
  </si>
  <si>
    <t>Trotting</t>
  </si>
  <si>
    <t>Ballistic Rating</t>
  </si>
  <si>
    <t>sherrids</t>
  </si>
  <si>
    <t>knife-5, bite-5</t>
  </si>
  <si>
    <t>stiff</t>
  </si>
  <si>
    <t>Concealment</t>
  </si>
  <si>
    <t>Stat:</t>
  </si>
  <si>
    <t xml:space="preserve"> min</t>
  </si>
  <si>
    <t>Reroutes orbs/bolts around caster.  Cost 1 per 2 isho of incoming.</t>
  </si>
  <si>
    <t>Orb of heat, like Cast Energy, not as powerful</t>
  </si>
  <si>
    <t>7*</t>
  </si>
  <si>
    <t>12D, +2 Reach</t>
  </si>
  <si>
    <t>Feathered Serpent</t>
  </si>
  <si>
    <t>Spell or Special Attacks</t>
  </si>
  <si>
    <t>Orb hits with force of a club.</t>
  </si>
  <si>
    <t>Desire reflection; Low-light vision; Illusion; Allergy, sunlight, severe</t>
  </si>
  <si>
    <t>Juggernaut</t>
  </si>
  <si>
    <t>10D</t>
  </si>
  <si>
    <t xml:space="preserve">     Forest Spirit</t>
  </si>
  <si>
    <t>Merrow</t>
  </si>
  <si>
    <t>Naga</t>
  </si>
  <si>
    <t>5M, -1 Reach</t>
  </si>
  <si>
    <t>Sasquatch</t>
  </si>
  <si>
    <t>Shapeshifter</t>
  </si>
  <si>
    <t>Increases hearing for 10 seconds.  Hear through walls.</t>
  </si>
  <si>
    <t>Distance Attack</t>
  </si>
  <si>
    <t>Orb 1' diameter that slowly moves and pushes things in its path with just a few pounds of force.  Not a weapon.</t>
  </si>
  <si>
    <t>Claw Venom</t>
  </si>
  <si>
    <t>Toxic Bite</t>
  </si>
  <si>
    <t>Wide band hearing; Low Light Eyes; thermal sense; Animal control, reptiles; Influence; Flame Projection; Noxious Breath; Venom;  Note:  Movement Multiplier is 4 when flying; Hardened Armor</t>
  </si>
  <si>
    <t>Opens a warp for 10 seconds.</t>
  </si>
  <si>
    <t>Grapple</t>
  </si>
  <si>
    <t>Medium Hide</t>
  </si>
  <si>
    <t>Engulf; flame aura; Flame projection; Immunity to fire; Guard; Magical resistance; Manifestation; Psychokinesis; Vulnerability, water</t>
  </si>
  <si>
    <t>Sea Drake</t>
  </si>
  <si>
    <t>8M, +1 Reach</t>
  </si>
  <si>
    <t>Initiative/Reaction</t>
  </si>
  <si>
    <t>round</t>
  </si>
  <si>
    <t>Concealment, self only;  Immunity to poisons; Venom; Vulnerability, iron</t>
  </si>
  <si>
    <t>Genhis, Adult</t>
  </si>
  <si>
    <t>Short Range</t>
  </si>
  <si>
    <t>Music</t>
  </si>
  <si>
    <t>Non-threatening</t>
  </si>
  <si>
    <t>Attitude:</t>
  </si>
  <si>
    <t>Animal control, rats; Concealment, self only; Immunity to pathogens; Immunity to poisons; Allergy, sunlight, mild</t>
  </si>
  <si>
    <t>Devilfish</t>
  </si>
  <si>
    <t>5M</t>
  </si>
  <si>
    <t>9S, +1 Reach</t>
  </si>
  <si>
    <t>Greater Armadillo</t>
  </si>
  <si>
    <t>2M, -1 Reach</t>
  </si>
  <si>
    <t xml:space="preserve">     Hearth Spirit</t>
  </si>
  <si>
    <t>Engulf, Enhanced Strength, 3X per day for [Essence]D6 turns, Low-light vision, improved smell, Hardened Armor, Search; special combat notes, see text</t>
  </si>
  <si>
    <t>Sonar, Hardened Armor, Immunity to Poisons; special combat notes, see text</t>
  </si>
  <si>
    <t>Afanc</t>
  </si>
  <si>
    <t>knife-3, bite-1</t>
  </si>
  <si>
    <t>Crill</t>
  </si>
  <si>
    <t>bite</t>
  </si>
  <si>
    <t>knife</t>
  </si>
  <si>
    <t>3d6+6</t>
  </si>
  <si>
    <t>Metahuman, Human</t>
  </si>
  <si>
    <t>2d6, 2d6+20</t>
  </si>
  <si>
    <t>boc-rod: Immune to dyshas</t>
  </si>
  <si>
    <t>Improved hearing; Improved smell; Low-light vision; Flame projection; Immunity to fire</t>
  </si>
  <si>
    <t>Merlin Hawk</t>
  </si>
  <si>
    <t>as above</t>
  </si>
  <si>
    <t>Blackberry Cat</t>
  </si>
  <si>
    <t>Chain +3</t>
  </si>
  <si>
    <t>Dog Asp</t>
  </si>
  <si>
    <t>Corrosive secretions; Engulf; Motion detection; Invisibility (non-magical); Regeneration; Vulnerability, fire; Note movement on land is 1</t>
  </si>
  <si>
    <t>Firebird</t>
  </si>
  <si>
    <t>5L</t>
  </si>
  <si>
    <t>Fire resistance</t>
  </si>
  <si>
    <t>Corrosive secretions; Immunity to fire; Movement, decrease; Allergy, cold, mild</t>
  </si>
  <si>
    <t>Fideal</t>
  </si>
  <si>
    <t>Reaction:</t>
  </si>
  <si>
    <t>E-hearing; E-smell; Low light vision; Movement multiplier is 4 while arboreal</t>
  </si>
  <si>
    <t>Bandersnatch</t>
  </si>
  <si>
    <t>4**</t>
  </si>
  <si>
    <t>Minutes</t>
  </si>
  <si>
    <t>Hours</t>
  </si>
  <si>
    <t>Days</t>
  </si>
  <si>
    <t>Mimic Snake</t>
  </si>
  <si>
    <t>Low-light vision; Mimicry</t>
  </si>
  <si>
    <t>Rounds</t>
  </si>
  <si>
    <t>Shadowmant</t>
  </si>
  <si>
    <t>Resistance</t>
  </si>
  <si>
    <t>Duration</t>
  </si>
  <si>
    <t>Adaptive Coloration (Selective), Low-light vision, Enhaced Quickness three times per day for [Essence]D6 turns, Immunity to Poisons; Quickness multiplier for flying is 4, can only fly once per hour for [Essence]D6 turns</t>
  </si>
  <si>
    <t>Shields front of caster AV 6.</t>
  </si>
  <si>
    <t>Thermographic vision; Minotaur variant same stats, looks different</t>
  </si>
  <si>
    <t>Bat</t>
  </si>
  <si>
    <t>-</t>
  </si>
  <si>
    <t>2L</t>
  </si>
  <si>
    <t>Greater Wolverine</t>
  </si>
  <si>
    <t>5S</t>
  </si>
  <si>
    <t>Gila Demon</t>
  </si>
  <si>
    <t>Intimidation</t>
  </si>
  <si>
    <t>2D6+</t>
  </si>
  <si>
    <t>Envelop</t>
  </si>
  <si>
    <t>E-quickness 1/day for essence D6 turns; E-reactions; Improved smell; Reduced vision</t>
  </si>
  <si>
    <t>Gyre</t>
  </si>
  <si>
    <t>4S</t>
  </si>
  <si>
    <t>E-quickness 1/day for essence D6 turns; Improved hearing; Improved smell; Low-light vision; Thermographic Vision; Mana detection; Allergy, mana, mild</t>
  </si>
  <si>
    <t>6S, +1 Reach</t>
  </si>
  <si>
    <t>Scrambles moon skills, prevents orb weaving</t>
  </si>
  <si>
    <t>Thunderbird</t>
  </si>
  <si>
    <t>Ship</t>
  </si>
  <si>
    <t>Spell or Special Damage</t>
  </si>
  <si>
    <t>Touch is like a branding iron.</t>
  </si>
  <si>
    <t>Storm Wolf</t>
  </si>
  <si>
    <t>Storm Call</t>
  </si>
  <si>
    <t>Ballistic</t>
  </si>
  <si>
    <t>Energy</t>
  </si>
  <si>
    <t>Penalty</t>
  </si>
  <si>
    <t>Superficial</t>
  </si>
  <si>
    <t>Minor</t>
  </si>
  <si>
    <t>Critical</t>
  </si>
  <si>
    <t>Poison Touch</t>
  </si>
  <si>
    <t>Petrifying Gaze; Allergy, own gaze, extreme</t>
  </si>
  <si>
    <t>Improved smell; Immunity to age; Immunity to pathogens; Immunity to poisons; Pestilence</t>
  </si>
  <si>
    <t>Orbs that spread out to cover 30 sq ft.  100 HP, AV 10.</t>
  </si>
  <si>
    <t>Animal Control (Special), Concealment (Personal), Empathy (LOS), Immunity to normal weapons, Magical resistance, Venom; Quickness multiplier for flying is 7</t>
  </si>
  <si>
    <t>Accident; Alienation; Concealment; Confusion; Guard; Search</t>
  </si>
  <si>
    <t xml:space="preserve">     Field Spirit</t>
  </si>
  <si>
    <t>carapace -2</t>
  </si>
  <si>
    <t>knife-3, bite-3</t>
  </si>
  <si>
    <t>3d6</t>
  </si>
  <si>
    <t>hide underground</t>
  </si>
  <si>
    <t>Reduces falling damage by 5 points.</t>
  </si>
  <si>
    <t>Touch</t>
  </si>
  <si>
    <t>Flight</t>
  </si>
  <si>
    <t>kph</t>
  </si>
  <si>
    <t xml:space="preserve">  /  </t>
  </si>
  <si>
    <t>MPR  /  KPH</t>
  </si>
  <si>
    <t>Eastern Dragon</t>
  </si>
  <si>
    <t>Stormcrow</t>
  </si>
  <si>
    <t>Like deflector but the bolt or orb is sent back to original caster.  Make attack by the reflect caster.</t>
  </si>
  <si>
    <t>Plated Hide</t>
  </si>
  <si>
    <t>1D6-1</t>
  </si>
  <si>
    <t>1D6-2</t>
  </si>
  <si>
    <t>Empathy (LOS), Enhaced Depth Perception, Fire Resistance, Influence (LOS), Magical Resistance, Search, Weather Control; Vulnerabiltiy (Poisons); Note Quickness multiplier for flying is 7</t>
  </si>
  <si>
    <t>Jauchekafer</t>
  </si>
  <si>
    <t>3L Female, 4M Male</t>
  </si>
  <si>
    <t>Burrow</t>
  </si>
  <si>
    <t>Ethandrille</t>
  </si>
  <si>
    <t>Lightning</t>
  </si>
  <si>
    <t>Felux</t>
  </si>
  <si>
    <t>2 claws, bite</t>
  </si>
  <si>
    <t>The number of dice to allocate to the damage or effect test</t>
  </si>
  <si>
    <t>Effect Test</t>
  </si>
  <si>
    <t>hour</t>
  </si>
  <si>
    <t>Special 4</t>
  </si>
  <si>
    <t>Special 5</t>
  </si>
  <si>
    <t>Special 6</t>
  </si>
  <si>
    <t>Corpselight</t>
  </si>
  <si>
    <t>Snow Badger</t>
  </si>
  <si>
    <t>Cold</t>
  </si>
  <si>
    <t>soothe</t>
  </si>
  <si>
    <t>Vestrivan</t>
  </si>
  <si>
    <t>Acid</t>
  </si>
  <si>
    <t>Spider Grip</t>
  </si>
  <si>
    <t>Spectral Stun</t>
  </si>
  <si>
    <t>Deflector</t>
  </si>
  <si>
    <t>Tra</t>
  </si>
  <si>
    <t>Inner Ear</t>
  </si>
  <si>
    <t>Inner Eye</t>
  </si>
  <si>
    <t>Dour</t>
  </si>
  <si>
    <t>4M, +1 Reach</t>
  </si>
  <si>
    <t>Creates bubble that envelops the target.  AV 30, HP 30.  Slow moving objects can enter or exit the bubble.  Lasts until destroyed.</t>
  </si>
  <si>
    <t>Humanoid</t>
  </si>
  <si>
    <t>1 through 55 meter radius</t>
  </si>
  <si>
    <t>Vampire</t>
  </si>
  <si>
    <t>C+E</t>
  </si>
  <si>
    <t>C*</t>
  </si>
  <si>
    <t>Wormskull</t>
  </si>
  <si>
    <t>Engulf; Manifestation; Movement; Vulnerability to Fire</t>
  </si>
  <si>
    <t>Orb strikes shields and does 4 pts damage per round for 5 rounds.  Lots of light and noise.</t>
  </si>
  <si>
    <t>Elemental, Water</t>
  </si>
  <si>
    <t>F-1</t>
  </si>
  <si>
    <t>E-quickness; Improved smell; Low-light vision; Immunity to cold; Venom; Vulnerability, fire</t>
  </si>
  <si>
    <t>Stonebinder</t>
  </si>
  <si>
    <t>Gorgon</t>
  </si>
  <si>
    <t>is the casters character Rank</t>
  </si>
  <si>
    <t>Zero G Maneuvers</t>
  </si>
  <si>
    <t>3mr</t>
  </si>
  <si>
    <t>Partial</t>
  </si>
  <si>
    <t>5 rounds</t>
  </si>
  <si>
    <t>10 minutes</t>
  </si>
  <si>
    <t>Burrowing Beaver</t>
  </si>
  <si>
    <t>Many magic powers, see text</t>
  </si>
  <si>
    <t>Maneuver</t>
  </si>
  <si>
    <t>Initiative</t>
  </si>
  <si>
    <t>Passive Scent, Enraging Scent</t>
  </si>
  <si>
    <t>Car</t>
  </si>
  <si>
    <t>Concealment self only; Allergy to pollutants, mild</t>
  </si>
  <si>
    <t>bite, swallow</t>
  </si>
  <si>
    <t>Pibber</t>
  </si>
  <si>
    <t>0 or carapace</t>
  </si>
  <si>
    <t>Attacks</t>
  </si>
  <si>
    <t>Powers &amp; Notes</t>
  </si>
  <si>
    <t>Codified</t>
  </si>
  <si>
    <t>3M(6M)</t>
  </si>
  <si>
    <t>Will o' the Wisp</t>
  </si>
  <si>
    <t>Windling</t>
  </si>
  <si>
    <t>Tank, Small Aircraft, Elephant</t>
  </si>
  <si>
    <t>Fighter Jet</t>
  </si>
  <si>
    <t>Knife, Throwing</t>
  </si>
  <si>
    <t>Many powers, see notes</t>
  </si>
  <si>
    <t>Agropelter</t>
  </si>
  <si>
    <t>3M or Humanoid</t>
  </si>
  <si>
    <t>Truck, Van</t>
  </si>
  <si>
    <t>E-quickness 1/day for essence D6 turns; Improved hearing; Dietary requirement, mercury</t>
  </si>
  <si>
    <t>Spell Calculation Table</t>
  </si>
  <si>
    <t>Targets</t>
  </si>
  <si>
    <t>Depletion</t>
  </si>
  <si>
    <t>energy</t>
  </si>
  <si>
    <t>Immunity to pathogens and poisons, Venom; Note quickness multiplier for flying is 5</t>
  </si>
  <si>
    <t>8S, +1 Reach</t>
  </si>
  <si>
    <t>Adaptive coloration; mimicry</t>
  </si>
  <si>
    <t>Verbal Component</t>
  </si>
  <si>
    <t>Number of Targets - OR</t>
  </si>
  <si>
    <t>Area of Effect</t>
  </si>
  <si>
    <t>Blast of heat like a fireball 3-4 meters in radius.  Damage like mace.</t>
  </si>
  <si>
    <t>divided by .36</t>
  </si>
  <si>
    <t>divided by 3.5</t>
  </si>
  <si>
    <t>-Size modifier</t>
  </si>
  <si>
    <t>Enter Max Speed MPH</t>
  </si>
  <si>
    <t>Enter Size Modifier</t>
  </si>
  <si>
    <t>(A+1)(A)</t>
  </si>
  <si>
    <t>Humanoid, +1 Reach</t>
  </si>
  <si>
    <t>Sea Snake</t>
  </si>
  <si>
    <t>Selachi</t>
  </si>
  <si>
    <t>Enhanced Physical Attributes in Animal Form, Regeneration, May be Magically Active; Allergy to Silver, Severe</t>
  </si>
  <si>
    <t>Carapace</t>
  </si>
  <si>
    <t>Thaleron</t>
  </si>
  <si>
    <t/>
  </si>
  <si>
    <t>Thundra Beast</t>
  </si>
  <si>
    <t>Shapeshifter A-form</t>
  </si>
  <si>
    <t>Freezes voluntary muscles in target for 10 seconds</t>
  </si>
  <si>
    <t>Bear, Large</t>
  </si>
  <si>
    <t>9D, +1 Reach</t>
  </si>
  <si>
    <t>Bear, Typical</t>
  </si>
  <si>
    <t>Enhanced physical attributes in animal form; Regeneration; Allergy to silver, severe; Vulnerability to silver</t>
  </si>
  <si>
    <t>Physical Defense</t>
  </si>
  <si>
    <t>Chimera</t>
  </si>
  <si>
    <t>7S, +1 Reach</t>
  </si>
  <si>
    <t>thombo kick</t>
  </si>
  <si>
    <t>Vodra</t>
  </si>
  <si>
    <t>d3 or d100</t>
  </si>
  <si>
    <t>frost</t>
  </si>
  <si>
    <t>Camoflauge</t>
  </si>
  <si>
    <t>Cast Net</t>
  </si>
  <si>
    <t>Performance Art</t>
  </si>
  <si>
    <t>Persuasion</t>
  </si>
  <si>
    <t>Basislisk</t>
  </si>
  <si>
    <t>6M, -1 Reach</t>
  </si>
  <si>
    <t>Accident; Concealment; Confusion; Guard; Movement</t>
  </si>
  <si>
    <t xml:space="preserve">     Storm Spirit</t>
  </si>
  <si>
    <t>Chantrel's Horror</t>
  </si>
  <si>
    <t>Crystal Entity</t>
  </si>
  <si>
    <t>Hit Points</t>
  </si>
  <si>
    <t>Armor Rating</t>
  </si>
  <si>
    <t>Sonar; Immunity to poison; Petrification; Venom</t>
  </si>
  <si>
    <t>Greater Unicorn</t>
  </si>
  <si>
    <t>Small orb useful for knocking over small objects.  A person hit in the head are dazed for one round if a constitution check is failed.</t>
  </si>
  <si>
    <t>Spell Use</t>
  </si>
  <si>
    <t>Fishing</t>
  </si>
  <si>
    <t>Fit In</t>
  </si>
  <si>
    <t>Flirting</t>
  </si>
  <si>
    <t>Spellcasting</t>
  </si>
  <si>
    <t>Stealth</t>
  </si>
  <si>
    <t>Isho drain, power orb, lightning blast</t>
  </si>
  <si>
    <t>8d6xd6</t>
  </si>
  <si>
    <t>fly</t>
  </si>
  <si>
    <t>swim, fly</t>
  </si>
  <si>
    <t>Dharmee</t>
  </si>
  <si>
    <t>Accident; Concealment; Engulf; Fear; Guard; Movement; Search</t>
  </si>
  <si>
    <t>Power Orb</t>
  </si>
  <si>
    <t>Rock Spit</t>
  </si>
  <si>
    <t>Metahuman, Troll</t>
  </si>
  <si>
    <t>+4 difficulty to healing rolls for claw damage</t>
  </si>
  <si>
    <t>4L</t>
  </si>
  <si>
    <t>Like Shield Shatter, but user of the shield takes a power orb attack each round for five rounds.</t>
  </si>
  <si>
    <t>Attack 4</t>
  </si>
  <si>
    <t>Number Appearing</t>
  </si>
  <si>
    <t>Low Light Vision; E-hearing; E-smell; Essence Drain; Fear; Immune to age, pathogens, poisons; Mist Form; Regeneration</t>
  </si>
  <si>
    <t>Psychic Endurance</t>
  </si>
  <si>
    <t>4 heads, rock spit</t>
  </si>
  <si>
    <t>Isho drain, power orb, lightning blast, swim, fly</t>
  </si>
  <si>
    <t>lirgin beetles (parasites) on hide, can jump to opponent</t>
  </si>
  <si>
    <t>stiff, screetch</t>
  </si>
  <si>
    <t>Attack 1</t>
  </si>
  <si>
    <t>Attack 2</t>
  </si>
  <si>
    <t>Attack 3</t>
  </si>
  <si>
    <t>+1 to resistance test (perception - bonus) per 5 m away</t>
  </si>
  <si>
    <t>Enhanced attributes; E-hearing; E-smell; Essence Drain; Immune to age, pathogens, poison; Infection; Mist form; Regeneration; Thermographic vision; Allergy to sunlight, severe; Induced dormancy with lack of air; Essence loss; Vulnerability to wood</t>
  </si>
  <si>
    <t>Wendigo</t>
  </si>
  <si>
    <t>Harpy</t>
  </si>
  <si>
    <t>Provocable</t>
  </si>
  <si>
    <t>Yes</t>
  </si>
  <si>
    <t>Elemental, Fire</t>
  </si>
  <si>
    <t>F+1</t>
  </si>
  <si>
    <t>Improved vision; thermographic vision</t>
  </si>
  <si>
    <t>Bogie</t>
  </si>
  <si>
    <t>Bandit</t>
  </si>
  <si>
    <t>E-hearing; E-smell; Low light vision</t>
  </si>
  <si>
    <t>Behemoth</t>
  </si>
  <si>
    <t>7D</t>
  </si>
  <si>
    <t>Original</t>
  </si>
  <si>
    <t>Quadrilobe</t>
  </si>
  <si>
    <t>Bombardier</t>
  </si>
  <si>
    <t>Eyekiller</t>
  </si>
  <si>
    <t>6S</t>
  </si>
  <si>
    <t>1 through 20 OR</t>
  </si>
  <si>
    <t>Fear; Venom</t>
  </si>
  <si>
    <t>(4)A</t>
  </si>
  <si>
    <t>Snow Snake</t>
  </si>
  <si>
    <t>Gabriel Hound</t>
  </si>
  <si>
    <t>(Str)M</t>
  </si>
  <si>
    <t>5S, +1 Reach</t>
  </si>
  <si>
    <t>Blindness; Low-light vision; Thermographic vision; Fear; Silence (Non-magical); Allergy, sunlight, mild</t>
  </si>
  <si>
    <t>Sonic attack</t>
  </si>
  <si>
    <t>Skeorx</t>
  </si>
  <si>
    <t>Nautilid</t>
  </si>
  <si>
    <t>Pangolus</t>
  </si>
  <si>
    <t>Plague Lizard</t>
  </si>
  <si>
    <t>251-350</t>
  </si>
  <si>
    <t>Mimic Voice</t>
  </si>
  <si>
    <t>Mimicry</t>
  </si>
  <si>
    <t>Shuriken</t>
  </si>
  <si>
    <t>Spear</t>
  </si>
  <si>
    <t>Engulf; Flame Aura; Flame Projection; Guard; Manifestation; Vulnerability to Water</t>
  </si>
  <si>
    <t>Relan</t>
  </si>
  <si>
    <t>Suaral</t>
  </si>
  <si>
    <t>Penetration Bolt</t>
  </si>
  <si>
    <t>Desti</t>
  </si>
  <si>
    <t>Movement 1/day for essence D6 turns; Low-light vision</t>
  </si>
  <si>
    <t>Serpent, Freshwater</t>
  </si>
  <si>
    <t>minute</t>
  </si>
  <si>
    <t>Target</t>
  </si>
  <si>
    <t>Cage</t>
  </si>
  <si>
    <t>Shield Implosion</t>
  </si>
  <si>
    <t>Gobey</t>
  </si>
  <si>
    <t>Frost Bolt</t>
  </si>
  <si>
    <t>Lightning Strike</t>
  </si>
  <si>
    <t>Yes (a tried and true spell) or No (a spontaneous spell construct)</t>
  </si>
  <si>
    <t>zero or one</t>
  </si>
  <si>
    <t>Fire Touch</t>
  </si>
  <si>
    <t>Launtra</t>
  </si>
  <si>
    <t>Healer</t>
  </si>
  <si>
    <t>Night Eyes</t>
  </si>
  <si>
    <t>Faint Touch</t>
  </si>
  <si>
    <t>Accident; Concealment; Confusion; Fear; Immunity to Normal Weapons; Magical guard; Manifestation; Movement; Weather control, any</t>
  </si>
  <si>
    <t>Ping</t>
  </si>
  <si>
    <t>Martichoras</t>
  </si>
  <si>
    <t>Hardened Armor</t>
  </si>
  <si>
    <t>White Mandare</t>
  </si>
  <si>
    <t>The Wild Hunt has group powers in addition to individual critter powers.  See Text for details.</t>
  </si>
  <si>
    <t>Kludde: Avian</t>
  </si>
  <si>
    <t>Hits-0 Size</t>
  </si>
  <si>
    <t>Hits-Neg Size</t>
  </si>
  <si>
    <t>Spells</t>
  </si>
  <si>
    <t>Molgrim</t>
  </si>
  <si>
    <t>Entrancement</t>
  </si>
  <si>
    <t>Suspension Orb</t>
  </si>
  <si>
    <t>Jumps to attack</t>
  </si>
  <si>
    <t>Light Hide</t>
  </si>
  <si>
    <t>Natural Armor Hide</t>
  </si>
  <si>
    <t>Power Hold</t>
  </si>
  <si>
    <t>Bellow Deafens</t>
  </si>
  <si>
    <t>Skill 1</t>
  </si>
  <si>
    <t>Skill 2</t>
  </si>
  <si>
    <t>Orb of intense heat.  Same damage as a staff.</t>
  </si>
  <si>
    <t>Man-of-the-Woods</t>
  </si>
  <si>
    <t>lightning blast, pentration lightning, suspension orb, power hold, bellow, fear</t>
  </si>
  <si>
    <t>Electrical projection, area effect; Movement multiplier is 5 while flying</t>
  </si>
  <si>
    <t>Unicorn</t>
  </si>
  <si>
    <t>Toughness</t>
  </si>
  <si>
    <t>Intelligence</t>
  </si>
  <si>
    <t>Willpower</t>
  </si>
  <si>
    <t>4 fists</t>
  </si>
  <si>
    <t>club</t>
  </si>
  <si>
    <t>boc-rod: Immune to dyshas, fly</t>
  </si>
  <si>
    <t>8M, -1 Reach</t>
  </si>
  <si>
    <t>Spell</t>
  </si>
  <si>
    <t>Faint</t>
  </si>
  <si>
    <t>Calm Animal</t>
  </si>
  <si>
    <t>Blinding</t>
  </si>
  <si>
    <t>Speed</t>
  </si>
  <si>
    <t>Walking</t>
  </si>
  <si>
    <t>Running</t>
  </si>
  <si>
    <t>Fire Breath</t>
  </si>
  <si>
    <t>Hydra</t>
  </si>
  <si>
    <t>Dragon Powers</t>
  </si>
  <si>
    <t>Griffin, Jungle</t>
  </si>
  <si>
    <t>E-strength 1/day for essenceD6 turns; E-reactions; Low-light vision; Influence (depression); Allergy, sunlight, mild</t>
  </si>
  <si>
    <t>Blood Kite</t>
  </si>
  <si>
    <t>1 point of damage, -5 advantage for 3 rounds</t>
  </si>
  <si>
    <t>Very Hard</t>
  </si>
  <si>
    <t>Large Aircraft, Dragon</t>
  </si>
  <si>
    <t xml:space="preserve"> </t>
  </si>
  <si>
    <t>Guard; Magical Guard; Venom</t>
  </si>
  <si>
    <t>Target is in epileptic fit for 5 rounds.  D6-D6 damage</t>
  </si>
  <si>
    <t>Butt</t>
  </si>
  <si>
    <t>Snow Moose</t>
  </si>
  <si>
    <t xml:space="preserve">     Swamp Spirit</t>
  </si>
  <si>
    <t>Calchona</t>
  </si>
  <si>
    <t>A pack hunting dinosaur.  Attacks by jumping and hitting with the back feet talons and then the claws and bite.</t>
  </si>
  <si>
    <t>Skill 3</t>
  </si>
  <si>
    <t>Skill 4</t>
  </si>
  <si>
    <t>Skill 5</t>
  </si>
  <si>
    <t>Orb of heat, like Cast Energy, but -3 damage.</t>
  </si>
  <si>
    <t>+15 initiative 1st attack (surprise attacks), rock spit</t>
  </si>
  <si>
    <t>Swallow Whole</t>
  </si>
  <si>
    <t>desta, ebba, gobey, du, swallow whole</t>
  </si>
  <si>
    <t>instantaneous or permanent, or 1 through 31 with an increment of rounds, minutes, hours, days, weeks, months, or years</t>
  </si>
  <si>
    <t>Spinner</t>
  </si>
  <si>
    <t>Navigation</t>
  </si>
  <si>
    <t>Lightning Blast plus knocks target back 3 -size yards (base).</t>
  </si>
  <si>
    <t>Chakta Bird</t>
  </si>
  <si>
    <t>Crakbill</t>
  </si>
  <si>
    <t>Paralysis Gas</t>
  </si>
  <si>
    <t>Etiquette</t>
  </si>
  <si>
    <t>Con test (-per bonus) or  -3 on all actions for 3 rounds.</t>
  </si>
  <si>
    <t>Shields the caster, AV 20.  Loses 2 pts of AV per minute</t>
  </si>
  <si>
    <t>Psychic Drain</t>
  </si>
  <si>
    <t>Dangerous</t>
  </si>
  <si>
    <t>2 arms, beak</t>
  </si>
  <si>
    <t>club+2, knife</t>
  </si>
  <si>
    <t>Additions</t>
  </si>
  <si>
    <t>Current</t>
  </si>
  <si>
    <t>Name</t>
  </si>
  <si>
    <t>B</t>
  </si>
  <si>
    <t>Q</t>
  </si>
  <si>
    <t>S</t>
  </si>
  <si>
    <t>C</t>
  </si>
  <si>
    <t>I</t>
  </si>
  <si>
    <t>W</t>
  </si>
  <si>
    <t>E</t>
  </si>
  <si>
    <t>R</t>
  </si>
  <si>
    <t>Dichandra</t>
  </si>
  <si>
    <t>Slough Blame</t>
  </si>
  <si>
    <t>Fast Hand</t>
  </si>
  <si>
    <t>Count</t>
    <phoneticPr fontId="0"/>
  </si>
  <si>
    <t>Social Defense</t>
    <phoneticPr fontId="0"/>
  </si>
  <si>
    <t>Constrictor</t>
  </si>
  <si>
    <t>Orb of Light</t>
  </si>
  <si>
    <t>Hardened Armor; Improved Smell; Immunity to poison; Reduced vision</t>
  </si>
  <si>
    <t>Athletics, Diving</t>
  </si>
  <si>
    <t>Athletics, Jumping</t>
  </si>
  <si>
    <t>Athletics, Might</t>
  </si>
  <si>
    <t>0-5</t>
  </si>
  <si>
    <t>6-20</t>
  </si>
  <si>
    <t>3L, -1 Reach</t>
  </si>
  <si>
    <t>Touch, or 1 through 7,000,000 (1 meter through 7,000 kilometers)</t>
  </si>
  <si>
    <t>Accidnet; Binding; Concealment; Confusion; Engulf; Fear; Guard; Movement; Search</t>
  </si>
  <si>
    <t>Shortbow</t>
  </si>
  <si>
    <t>6-10</t>
  </si>
  <si>
    <t>11-50</t>
  </si>
  <si>
    <t>51-100</t>
  </si>
  <si>
    <t>101-150</t>
  </si>
  <si>
    <t>Cat, House</t>
  </si>
  <si>
    <t>5*</t>
  </si>
  <si>
    <t>Boobrie</t>
  </si>
  <si>
    <t>4L, +1 Reach</t>
  </si>
  <si>
    <t>Deinonchus</t>
  </si>
  <si>
    <t>3-6</t>
  </si>
  <si>
    <t>2-3</t>
  </si>
  <si>
    <t>4-6</t>
  </si>
  <si>
    <t>7-9</t>
  </si>
  <si>
    <t>11-12</t>
  </si>
  <si>
    <t>2-6</t>
  </si>
  <si>
    <t>Hits-Plus Size</t>
  </si>
  <si>
    <t>Horse, War</t>
  </si>
  <si>
    <t>Horse, Riding</t>
  </si>
  <si>
    <t>Ice Flyer</t>
  </si>
  <si>
    <t>Barghest</t>
  </si>
  <si>
    <t>6*</t>
  </si>
  <si>
    <t>2d6+15</t>
  </si>
  <si>
    <t>Mandare</t>
  </si>
  <si>
    <t>leather +2</t>
  </si>
  <si>
    <t>Full, Partial, None</t>
  </si>
  <si>
    <t>Perception</t>
  </si>
  <si>
    <t>Low-light vision; Allergy, sunlight, nuisance</t>
  </si>
  <si>
    <t>Dzoo-Noo-Qua</t>
  </si>
  <si>
    <t>Globberog</t>
  </si>
  <si>
    <t>control victim</t>
  </si>
  <si>
    <t>Shrieker Bat</t>
  </si>
  <si>
    <t xml:space="preserve">     City Spirit</t>
  </si>
  <si>
    <t>Species Mod</t>
  </si>
  <si>
    <t>Bog Gob</t>
  </si>
  <si>
    <t>Orb that causes its target to spin in place for 5 rounds.  Dex test or drop held items, -1 per round spinning.  -2 rounds duration per +1 in size.  -2 advantage per round spent spinning, penalty disapates over 20 rounds.</t>
  </si>
  <si>
    <t>Lightning Blast</t>
  </si>
  <si>
    <t>Penetration Lightning</t>
  </si>
  <si>
    <t>Strength</t>
  </si>
  <si>
    <t>Elemental, Earth</t>
  </si>
  <si>
    <t>Moon</t>
  </si>
  <si>
    <t>Shal</t>
  </si>
  <si>
    <t>Ebba</t>
  </si>
  <si>
    <t>Push</t>
  </si>
  <si>
    <t>Tumble</t>
  </si>
  <si>
    <t>Plague</t>
  </si>
  <si>
    <t>Preces</t>
  </si>
  <si>
    <t>Prisma</t>
  </si>
  <si>
    <t>Adhesive Gob</t>
  </si>
  <si>
    <t xml:space="preserve">Speed Furmula </t>
  </si>
  <si>
    <t>E-strength 1/day for essence D6 turns; Thermographic vision; Allergy, sunlight, severe; Allergy, aconite or horseradish, severe; Note statistics in parenthesis refer to creature at peak power</t>
  </si>
  <si>
    <t>By Powers</t>
  </si>
  <si>
    <t>(F+3)</t>
  </si>
  <si>
    <t>(F-2)</t>
  </si>
  <si>
    <t>(F+2)</t>
  </si>
  <si>
    <t>10</t>
  </si>
  <si>
    <t>Beagre</t>
  </si>
  <si>
    <t>Leather -2</t>
  </si>
  <si>
    <t>Reaction</t>
  </si>
  <si>
    <t>D+</t>
  </si>
  <si>
    <t>Shield Shatter</t>
  </si>
  <si>
    <t>Hydra Wyrm</t>
  </si>
  <si>
    <t>10M, +2 Reach</t>
  </si>
  <si>
    <t>10-20+</t>
  </si>
  <si>
    <t>Levitate</t>
  </si>
  <si>
    <t>Pestilence; movement multiplier is 6 while flying</t>
  </si>
  <si>
    <t>Kraken</t>
  </si>
  <si>
    <t>Vetta</t>
  </si>
  <si>
    <t>Short</t>
  </si>
  <si>
    <t>Description</t>
  </si>
  <si>
    <t>Type</t>
  </si>
  <si>
    <t>None</t>
  </si>
  <si>
    <t>Size</t>
  </si>
  <si>
    <t xml:space="preserve">Touch drains the effect dice in psychic stamina, will test for half. </t>
  </si>
  <si>
    <t>Base Effect Dice</t>
  </si>
  <si>
    <t>2D6A</t>
  </si>
  <si>
    <t>Listness</t>
  </si>
  <si>
    <t>Rings that pin a target for 30 seconds - 10 seconds per size larger than 0.</t>
  </si>
  <si>
    <t>3M, -1 Reach</t>
  </si>
  <si>
    <t>Fear, Forget Venom</t>
  </si>
  <si>
    <t>Dyre</t>
  </si>
  <si>
    <t>Earth q'wril</t>
  </si>
  <si>
    <t>New Canberra - Australia's Interstellar Heart P49</t>
    <phoneticPr fontId="6" type="noConversion"/>
  </si>
  <si>
    <t>Gatto</t>
    <phoneticPr fontId="6" type="noConversion"/>
  </si>
  <si>
    <t>Tirane</t>
    <phoneticPr fontId="6" type="noConversion"/>
  </si>
  <si>
    <t>Jumbuck</t>
    <phoneticPr fontId="6" type="noConversion"/>
  </si>
  <si>
    <t>Fear</t>
  </si>
  <si>
    <t>Krillra</t>
  </si>
  <si>
    <t>Leech Rat</t>
  </si>
  <si>
    <t>Shadow</t>
  </si>
  <si>
    <t>Bubble</t>
  </si>
  <si>
    <t>Body Shield</t>
  </si>
  <si>
    <t>Wall</t>
  </si>
  <si>
    <t>Electrical Projection; Low light vision; amplified hearing</t>
  </si>
  <si>
    <t>Ghost</t>
  </si>
  <si>
    <t>F+4</t>
  </si>
  <si>
    <t>Dwarf</t>
  </si>
  <si>
    <t>Dex</t>
  </si>
  <si>
    <t>Str</t>
  </si>
  <si>
    <t>Tou</t>
  </si>
  <si>
    <t>Per</t>
  </si>
  <si>
    <t>Wil</t>
  </si>
  <si>
    <t>Accident; Alienation; Concealment; Confusion; Engulf; Fear; Guard; Movement; Search</t>
  </si>
  <si>
    <t>Beak</t>
  </si>
  <si>
    <t>Pincer</t>
  </si>
  <si>
    <t>Stinger</t>
  </si>
  <si>
    <t>Bash</t>
  </si>
  <si>
    <t>Ram</t>
  </si>
  <si>
    <t>Hide</t>
  </si>
  <si>
    <t>Knocks out target.  3% chance per point of isho spent.  Duration 1 minute per difference in constitution test.</t>
  </si>
  <si>
    <t>Heavy Hide</t>
    <phoneticPr fontId="6" type="noConversion"/>
  </si>
  <si>
    <t>Combat</t>
  </si>
  <si>
    <t>Illusion; Weakness Dietary Requirement (Gold or Silver)</t>
  </si>
  <si>
    <t>9-10</t>
  </si>
  <si>
    <t>surprise attacks</t>
  </si>
  <si>
    <t>Ocean Paddler</t>
    <phoneticPr fontId="6" type="noConversion"/>
  </si>
  <si>
    <t>Wellon Arctic Territories P17</t>
    <phoneticPr fontId="6" type="noConversion"/>
  </si>
  <si>
    <t>Dreglamon</t>
  </si>
  <si>
    <t>leather</t>
  </si>
  <si>
    <t>+5 1st attack, +2</t>
  </si>
  <si>
    <t>The sight or sound of this creature causes fear.</t>
  </si>
  <si>
    <t>Varies</t>
  </si>
  <si>
    <t>2mr</t>
  </si>
  <si>
    <t>Skill Total</t>
  </si>
  <si>
    <t>Creates 5 small orbs that damage like Cast Energy, but -5 damage.</t>
  </si>
  <si>
    <t>Large orb envelops target and lifts it a few feet off the ground for 6 rounds.</t>
  </si>
  <si>
    <t>Bone Shape</t>
  </si>
  <si>
    <t>Breath Weapon</t>
  </si>
  <si>
    <t>Paralytic Poison</t>
  </si>
  <si>
    <t>Death Moth</t>
  </si>
  <si>
    <t>Description:</t>
  </si>
  <si>
    <t>Distance 1</t>
  </si>
  <si>
    <t>Distance 2</t>
  </si>
  <si>
    <t>Special 1</t>
  </si>
  <si>
    <t>Special 2</t>
  </si>
  <si>
    <t>Special 3</t>
  </si>
  <si>
    <t>Farg</t>
  </si>
  <si>
    <t>Griffin</t>
  </si>
  <si>
    <t>knife-4, bite-3</t>
  </si>
  <si>
    <t>Bochigon</t>
  </si>
  <si>
    <t>Bonus</t>
    <phoneticPr fontId="7"/>
  </si>
  <si>
    <t>Skill Total Rd</t>
    <phoneticPr fontId="0"/>
  </si>
  <si>
    <t>Combat Defense</t>
    <phoneticPr fontId="7"/>
  </si>
  <si>
    <t>Spell/Psychic Defense</t>
    <phoneticPr fontId="7"/>
  </si>
  <si>
    <t>Social Defense</t>
    <phoneticPr fontId="7"/>
  </si>
  <si>
    <t>Physical Resistance</t>
    <phoneticPr fontId="7"/>
  </si>
  <si>
    <t>or Skill Test</t>
    <phoneticPr fontId="7"/>
  </si>
  <si>
    <t>Mental Resistance</t>
    <phoneticPr fontId="7"/>
  </si>
  <si>
    <t>1 claw, bite</t>
  </si>
  <si>
    <t>2d6, 2d6+10</t>
  </si>
  <si>
    <t>Hakenklaue</t>
    <phoneticPr fontId="6" type="noConversion"/>
  </si>
  <si>
    <t>Vogelheim</t>
    <phoneticPr fontId="6" type="noConversion"/>
  </si>
  <si>
    <t>Colonial Times #6 P52</t>
    <phoneticPr fontId="6" type="noConversion"/>
  </si>
  <si>
    <t>Du</t>
  </si>
  <si>
    <t>Flingers</t>
  </si>
  <si>
    <t>Quantum</t>
  </si>
  <si>
    <t>Number of Attacks</t>
    <phoneticPr fontId="0"/>
  </si>
  <si>
    <t>Accident; Alienation; Concealment; Confusion; Fear; Guard; Search</t>
  </si>
  <si>
    <t>Athletics, Climbing</t>
  </si>
  <si>
    <t>Dlynx</t>
    <phoneticPr fontId="6" type="noConversion"/>
  </si>
  <si>
    <t>Crater</t>
    <phoneticPr fontId="6" type="noConversion"/>
  </si>
  <si>
    <t>Titan</t>
    <phoneticPr fontId="6" type="noConversion"/>
  </si>
  <si>
    <t>Adlerhorst</t>
    <phoneticPr fontId="6" type="noConversion"/>
  </si>
  <si>
    <t>Atlas of the French Arm P224</t>
    <phoneticPr fontId="6" type="noConversion"/>
  </si>
  <si>
    <t>claw venom that prevents healing, 2 claws if thisting, attack and defense +7 if thisting</t>
  </si>
  <si>
    <t>frost, fly</t>
  </si>
  <si>
    <t>Notes:</t>
  </si>
  <si>
    <t>Gob/Suffocate</t>
  </si>
  <si>
    <t>Cha</t>
  </si>
  <si>
    <t>HP</t>
  </si>
  <si>
    <t>Enervore</t>
  </si>
  <si>
    <t>The number of effects, minimum of 1, maximum of 6</t>
  </si>
  <si>
    <t>Brithan</t>
  </si>
  <si>
    <t>Cadaver Man</t>
  </si>
  <si>
    <t>Cave Troll</t>
  </si>
  <si>
    <t>Nature Spirit, Man</t>
  </si>
  <si>
    <t>Crater</t>
  </si>
  <si>
    <t>Shield</t>
  </si>
  <si>
    <t>Accident; E-movement; E-reaction; Improved hearing; Improved smell; Low-light vision; Motion detection; Fear; Allergy, aconite or horseradish, severe</t>
  </si>
  <si>
    <t>Create Warp</t>
  </si>
  <si>
    <t>5A</t>
  </si>
  <si>
    <t>15/25</t>
  </si>
  <si>
    <t>Attack 5</t>
  </si>
  <si>
    <t>Attack 6</t>
  </si>
  <si>
    <t>Adjustment</t>
  </si>
  <si>
    <t>Weapon</t>
  </si>
  <si>
    <t>Cast Energy</t>
  </si>
  <si>
    <t>Challenge #72 P65</t>
    <phoneticPr fontId="6" type="noConversion"/>
  </si>
  <si>
    <t>Harvester</t>
    <phoneticPr fontId="6" type="noConversion"/>
  </si>
  <si>
    <t>Reaper</t>
    <phoneticPr fontId="6" type="noConversion"/>
  </si>
  <si>
    <t>Greater Termite</t>
  </si>
  <si>
    <t>Irritant Poison</t>
  </si>
  <si>
    <t>Harbinger</t>
  </si>
  <si>
    <t>Taunt, Curse</t>
  </si>
  <si>
    <t>Alertness</t>
  </si>
  <si>
    <t>Athletics, Jump</t>
  </si>
  <si>
    <t>1D6 X 1D10</t>
    <phoneticPr fontId="6" type="noConversion"/>
  </si>
  <si>
    <t>Routine</t>
    <phoneticPr fontId="6" type="noConversion"/>
  </si>
  <si>
    <t>Dangerous</t>
    <phoneticPr fontId="6" type="noConversion"/>
  </si>
  <si>
    <t>Skin</t>
    <phoneticPr fontId="6" type="noConversion"/>
  </si>
  <si>
    <t>Enhanced Phusical Attributes, Enhanced Senses (Hearing, Smell, Low Light &amp; Thermographic Vision), Enhanced Reaction; Vunerability (Silver)</t>
  </si>
  <si>
    <t>Gaki</t>
  </si>
  <si>
    <t>Greerlion</t>
    <phoneticPr fontId="6" type="noConversion"/>
  </si>
  <si>
    <t>The CW of Wellon - Director Resources P7</t>
    <phoneticPr fontId="6" type="noConversion"/>
  </si>
  <si>
    <t>Hellkat</t>
    <phoneticPr fontId="6" type="noConversion"/>
  </si>
  <si>
    <t>Koevoet Devil</t>
    <phoneticPr fontId="6" type="noConversion"/>
  </si>
  <si>
    <t>The CW of Wellon - Director Resources P8</t>
    <phoneticPr fontId="6" type="noConversion"/>
  </si>
  <si>
    <t>Redkat</t>
    <phoneticPr fontId="6" type="noConversion"/>
  </si>
  <si>
    <t>Reynard</t>
    <phoneticPr fontId="6" type="noConversion"/>
  </si>
  <si>
    <t>The CW of Wellon - Director Resources P9</t>
    <phoneticPr fontId="6" type="noConversion"/>
  </si>
  <si>
    <t>Rinn</t>
    <phoneticPr fontId="6" type="noConversion"/>
  </si>
  <si>
    <t>Tiracamel</t>
    <phoneticPr fontId="6" type="noConversion"/>
  </si>
  <si>
    <t>Tirane</t>
    <phoneticPr fontId="6" type="noConversion"/>
  </si>
  <si>
    <t>The Livingstone Peninsular P20</t>
    <phoneticPr fontId="6" type="noConversion"/>
  </si>
  <si>
    <t>Grasskats</t>
    <phoneticPr fontId="6" type="noConversion"/>
  </si>
  <si>
    <t>The Southlands P19</t>
    <phoneticPr fontId="6" type="noConversion"/>
  </si>
  <si>
    <t>Minotaur (Dranta)</t>
    <phoneticPr fontId="6" type="noConversion"/>
  </si>
  <si>
    <t>Cropper</t>
    <phoneticPr fontId="6" type="noConversion"/>
  </si>
  <si>
    <t>Forest Cropper</t>
    <phoneticPr fontId="6" type="noConversion"/>
  </si>
  <si>
    <t>Rock Jumper</t>
    <phoneticPr fontId="6" type="noConversion"/>
  </si>
  <si>
    <t>The Sultanate of Masira P21</t>
    <phoneticPr fontId="6" type="noConversion"/>
  </si>
  <si>
    <t>Golden Rinn</t>
    <phoneticPr fontId="6" type="noConversion"/>
  </si>
  <si>
    <t>Silk Spider</t>
    <phoneticPr fontId="6" type="noConversion"/>
  </si>
  <si>
    <t>Rockat</t>
    <phoneticPr fontId="6" type="noConversion"/>
  </si>
  <si>
    <t>The Sultanate of Masira P22</t>
    <phoneticPr fontId="6" type="noConversion"/>
  </si>
  <si>
    <t>Palestrina</t>
    <phoneticPr fontId="6" type="noConversion"/>
  </si>
  <si>
    <t>New Canberra - Australia's Interstellar Heart P50</t>
    <phoneticPr fontId="6" type="noConversion"/>
  </si>
  <si>
    <t>Genhis, Young</t>
  </si>
  <si>
    <t>Long Range</t>
  </si>
  <si>
    <t>Damage</t>
  </si>
  <si>
    <t>Western Dragon</t>
  </si>
  <si>
    <t>Great Dragon</t>
  </si>
  <si>
    <t>Orbs that spread out to cover 30 sq ft.  100 HP, AV 10.  Last until destroyed.</t>
  </si>
  <si>
    <t>81-120</t>
  </si>
  <si>
    <t>Forms ring around target and constricts.  Will sever thin objects.</t>
  </si>
  <si>
    <t>Awareness</t>
  </si>
  <si>
    <t>Bola</t>
  </si>
  <si>
    <t>Accident; Concealment; Guard; Search</t>
  </si>
  <si>
    <t>Phoenix</t>
  </si>
  <si>
    <t>Flame aura</t>
  </si>
  <si>
    <t>carapace</t>
  </si>
  <si>
    <t>Gloaming Owl</t>
  </si>
  <si>
    <t>Psychokinesis</t>
  </si>
  <si>
    <t>Fenris Wolf</t>
  </si>
  <si>
    <t>Omnivore</t>
  </si>
  <si>
    <t>Claw</t>
  </si>
  <si>
    <t>Talon</t>
  </si>
  <si>
    <t>Horn</t>
  </si>
  <si>
    <t>bite+2, rock+2</t>
  </si>
  <si>
    <t>Duradon</t>
  </si>
  <si>
    <t>Gas Explosion</t>
  </si>
  <si>
    <t>Stiff</t>
  </si>
  <si>
    <t>Screetch</t>
  </si>
  <si>
    <t xml:space="preserve">     Sea Spirit</t>
  </si>
  <si>
    <t>Empathy; E-quickness; Immunity to pathogens; Immunity to poisons; Magical resistance; Search</t>
  </si>
  <si>
    <t>Ignores</t>
  </si>
  <si>
    <t>2-7</t>
  </si>
  <si>
    <t>Scavenger</t>
    <phoneticPr fontId="6" type="noConversion"/>
  </si>
  <si>
    <t>Grendalsaga 3 P31</t>
    <phoneticPr fontId="6" type="noConversion"/>
  </si>
  <si>
    <t>Fenris Afanc</t>
    <phoneticPr fontId="6" type="noConversion"/>
  </si>
  <si>
    <t>Forces all limbs into full extension.  Str test to avoid dropping carried items and Agility test to avoid falling down.  Punch  damage.</t>
  </si>
  <si>
    <t>Attitudes:</t>
  </si>
  <si>
    <t>Attack Immediately</t>
  </si>
  <si>
    <t>Cautious</t>
  </si>
  <si>
    <t>Retreats</t>
  </si>
  <si>
    <t>Movement multiplier is 5 when flying</t>
  </si>
  <si>
    <t>121-150</t>
  </si>
  <si>
    <t>Tomahawk</t>
  </si>
  <si>
    <t>Carnivore</t>
    <phoneticPr fontId="6" type="noConversion"/>
  </si>
  <si>
    <t>2D6</t>
    <phoneticPr fontId="6" type="noConversion"/>
  </si>
  <si>
    <t>Aggressive</t>
    <phoneticPr fontId="6" type="noConversion"/>
  </si>
  <si>
    <t>Routine</t>
    <phoneticPr fontId="6" type="noConversion"/>
  </si>
  <si>
    <t>Herbivore</t>
    <phoneticPr fontId="6" type="noConversion"/>
  </si>
  <si>
    <t>Reflect</t>
  </si>
  <si>
    <t>Med Range</t>
  </si>
  <si>
    <t>Extreme</t>
  </si>
  <si>
    <t>Empathy</t>
  </si>
  <si>
    <t>Scramble</t>
  </si>
  <si>
    <t>Body Freeze</t>
  </si>
  <si>
    <t>Brain Blast</t>
  </si>
  <si>
    <t>Craze</t>
  </si>
  <si>
    <t>Drain</t>
  </si>
  <si>
    <t>Plains Wolf</t>
    <phoneticPr fontId="6" type="noConversion"/>
  </si>
  <si>
    <t>Dunkelheim</t>
    <phoneticPr fontId="6" type="noConversion"/>
  </si>
  <si>
    <t>Runner</t>
    <phoneticPr fontId="6" type="noConversion"/>
  </si>
  <si>
    <t>Braunbeast</t>
    <phoneticPr fontId="6" type="noConversion"/>
  </si>
  <si>
    <t>Daikoku</t>
    <phoneticPr fontId="6" type="noConversion"/>
  </si>
  <si>
    <t>Challenge #35  P35</t>
    <phoneticPr fontId="6" type="noConversion"/>
  </si>
  <si>
    <t>Challenge #35  P35</t>
    <phoneticPr fontId="6" type="noConversion"/>
  </si>
  <si>
    <t>Challenge #35  P36</t>
    <phoneticPr fontId="6" type="noConversion"/>
  </si>
  <si>
    <t>Arnab-doub (Rabbit-bear)</t>
    <phoneticPr fontId="6" type="noConversion"/>
  </si>
  <si>
    <t>Challenge #36 P44</t>
    <phoneticPr fontId="6" type="noConversion"/>
  </si>
  <si>
    <t>Arnab-doub (Rabbit-bear) modified</t>
    <phoneticPr fontId="6" type="noConversion"/>
  </si>
  <si>
    <t>Challenge #36 P45</t>
    <phoneticPr fontId="6" type="noConversion"/>
  </si>
  <si>
    <t>Challenge #44 P57</t>
    <phoneticPr fontId="6" type="noConversion"/>
  </si>
  <si>
    <t>Ravver</t>
    <phoneticPr fontId="6" type="noConversion"/>
  </si>
  <si>
    <t>Fear; Manifestation; Psychokinesis; Compulsion; Noxious breath; Paralyzing touch</t>
  </si>
  <si>
    <t>Ghoul</t>
  </si>
  <si>
    <t>E-smell; E-hearing; Allergy to sunlight, moderate; Blind</t>
  </si>
  <si>
    <t>Dunkelheim</t>
    <phoneticPr fontId="6" type="noConversion"/>
  </si>
  <si>
    <t>Slug Beast (imported by Kafers)</t>
    <phoneticPr fontId="6" type="noConversion"/>
  </si>
  <si>
    <t>Operation Overlord P36</t>
    <phoneticPr fontId="6" type="noConversion"/>
  </si>
  <si>
    <t>Atlas of the French Arm P131</t>
    <phoneticPr fontId="6" type="noConversion"/>
  </si>
  <si>
    <t>21-100</t>
  </si>
  <si>
    <t>101-200</t>
  </si>
  <si>
    <t>201-250</t>
  </si>
  <si>
    <t>Bayard</t>
    <phoneticPr fontId="6" type="noConversion"/>
  </si>
  <si>
    <t>The CW of Wellon - Director Resources P6</t>
    <phoneticPr fontId="6" type="noConversion"/>
  </si>
  <si>
    <t>Gnonose</t>
    <phoneticPr fontId="6" type="noConversion"/>
  </si>
  <si>
    <t>Fist</t>
  </si>
  <si>
    <t>d6</t>
  </si>
  <si>
    <t>d3</t>
  </si>
  <si>
    <t>Daij</t>
  </si>
  <si>
    <t>2d20</t>
  </si>
  <si>
    <t>Skin Armor</t>
  </si>
  <si>
    <t>Attack Rank</t>
  </si>
  <si>
    <t>Endurance</t>
  </si>
  <si>
    <t>Dexterity</t>
  </si>
  <si>
    <t>Agility</t>
  </si>
  <si>
    <t>Magma Beast</t>
  </si>
  <si>
    <t>Heat Damage</t>
  </si>
  <si>
    <t>Manticore</t>
  </si>
  <si>
    <t>Wild Hunt, Hound</t>
  </si>
  <si>
    <t>7S</t>
  </si>
  <si>
    <t>2 dyshas</t>
  </si>
  <si>
    <t>Thalier</t>
  </si>
  <si>
    <t>gas explosion</t>
  </si>
  <si>
    <t>Sandblast</t>
  </si>
  <si>
    <t>Sherrid</t>
  </si>
  <si>
    <t>Conceal Weapon</t>
  </si>
  <si>
    <t>Animal control (Elk, Deer), Dismissal (LOS), Empathy (LOS), Thermographic Vision, Immunity to Age, Magical Guard, Magical Resistance; Quickness multiplier is for running and swimming</t>
  </si>
  <si>
    <t>Wild Hunt, Steed</t>
  </si>
  <si>
    <t>Search</t>
  </si>
  <si>
    <t>Engulf; Manifestation; Movement; Noxious Breath; Psychokinesis; May be confined; Vulnerability to earth</t>
  </si>
  <si>
    <t>Orb of light.  Brilliance varies.  Bright enough to light 10X10 room lasts 1 hour.  A dim orb lasts 24 hours.</t>
  </si>
  <si>
    <t>Poison</t>
  </si>
  <si>
    <t>Spectral Dancer</t>
  </si>
  <si>
    <t>Range</t>
  </si>
  <si>
    <t>Source</t>
    <phoneticPr fontId="6" type="noConversion"/>
  </si>
  <si>
    <t xml:space="preserve">Operating in packs, the large, agile creature runs down its prey . The animals are easy to wound due to their thin but strong limbs and poorly protected internal organs. However, plains wolves are extremely resilient and tough to kill. </t>
  </si>
  <si>
    <t>Bite</t>
    <phoneticPr fontId="6" type="noConversion"/>
  </si>
  <si>
    <t>Pincer</t>
    <phoneticPr fontId="6" type="noConversion"/>
  </si>
  <si>
    <t>Stinger</t>
    <phoneticPr fontId="6" type="noConversion"/>
  </si>
  <si>
    <t>Poison</t>
    <phoneticPr fontId="6" type="noConversion"/>
  </si>
  <si>
    <t>Bite</t>
    <phoneticPr fontId="6" type="noConversion"/>
  </si>
  <si>
    <t>1 (+ reinforcements)</t>
    <phoneticPr fontId="6" type="noConversion"/>
  </si>
  <si>
    <t>Pincer</t>
    <phoneticPr fontId="6" type="noConversion"/>
  </si>
  <si>
    <t>1D6</t>
    <phoneticPr fontId="6" type="noConversion"/>
  </si>
  <si>
    <t>Trample</t>
    <phoneticPr fontId="6" type="noConversion"/>
  </si>
  <si>
    <t>Unnamed Life Form 1</t>
    <phoneticPr fontId="6" type="noConversion"/>
  </si>
  <si>
    <t>Unnamed Life Form 2</t>
    <phoneticPr fontId="6" type="noConversion"/>
  </si>
  <si>
    <t>Unnamed Life Form 3</t>
    <phoneticPr fontId="6" type="noConversion"/>
  </si>
  <si>
    <t>Unnamed Life Form 4</t>
    <phoneticPr fontId="6" type="noConversion"/>
  </si>
  <si>
    <t>Unnamed Life Form 5</t>
    <phoneticPr fontId="6" type="noConversion"/>
  </si>
  <si>
    <t>Aurore Sourcebook P25</t>
    <phoneticPr fontId="6" type="noConversion"/>
  </si>
  <si>
    <t>Aurore Sourcebook P26</t>
    <phoneticPr fontId="6" type="noConversion"/>
  </si>
  <si>
    <t>Omnivore</t>
    <phoneticPr fontId="6" type="noConversion"/>
  </si>
  <si>
    <t>Swallow</t>
    <phoneticPr fontId="6" type="noConversion"/>
  </si>
  <si>
    <t>Exoskeleton</t>
    <phoneticPr fontId="6" type="noConversion"/>
  </si>
  <si>
    <t>Routine</t>
    <phoneticPr fontId="6" type="noConversion"/>
  </si>
  <si>
    <t>Acid</t>
    <phoneticPr fontId="0" type="noConversion"/>
  </si>
  <si>
    <t>Touch</t>
    <phoneticPr fontId="0" type="noConversion"/>
  </si>
  <si>
    <t>Light Hide</t>
    <phoneticPr fontId="6" type="noConversion"/>
  </si>
  <si>
    <t>Athletics, General</t>
    <phoneticPr fontId="0"/>
  </si>
  <si>
    <t>Athletics, General</t>
    <phoneticPr fontId="6" type="noConversion"/>
  </si>
  <si>
    <t>Carnivore</t>
    <phoneticPr fontId="6" type="noConversion"/>
  </si>
  <si>
    <t>Beak</t>
    <phoneticPr fontId="6" type="noConversion"/>
  </si>
  <si>
    <t>Talon</t>
    <phoneticPr fontId="6" type="noConversion"/>
  </si>
  <si>
    <t>2D6</t>
    <phoneticPr fontId="6" type="noConversion"/>
  </si>
  <si>
    <t>Ferocious</t>
    <phoneticPr fontId="6" type="noConversion"/>
  </si>
  <si>
    <t>Easy</t>
    <phoneticPr fontId="6" type="noConversion"/>
  </si>
  <si>
    <t>1D3</t>
    <phoneticPr fontId="6" type="noConversion"/>
  </si>
  <si>
    <t>Scaled Hide</t>
    <phoneticPr fontId="6" type="noConversion"/>
  </si>
  <si>
    <t>Bite</t>
    <phoneticPr fontId="6" type="noConversion"/>
  </si>
  <si>
    <t>Wellon Arctic Territories P16</t>
    <phoneticPr fontId="6" type="noConversion"/>
  </si>
  <si>
    <t>Cthulhu Squid</t>
    <phoneticPr fontId="6" type="noConversion"/>
  </si>
  <si>
    <t>+3*</t>
  </si>
  <si>
    <t>Striker receives no save, others agility = half damage.</t>
  </si>
  <si>
    <t>Like bubble, but when destroyed hits anything contained within with Lightning Blast, unless it is destroyed with Shield Shatter.</t>
  </si>
  <si>
    <t>Imperial Eagle</t>
  </si>
  <si>
    <t>7-12</t>
  </si>
  <si>
    <t>13-16</t>
  </si>
  <si>
    <t>2-8</t>
  </si>
  <si>
    <t>Accident (Domain, Home), concealment (Personal), Darkness, Enhanced Quickness four times per day for Essence X Essence turns, Low-light vision, Guard, Influence (LOS), Manifestation, Search</t>
  </si>
  <si>
    <t>Faerie, Knocker</t>
  </si>
  <si>
    <t>Attribute</t>
    <phoneticPr fontId="7"/>
  </si>
  <si>
    <t>Grendal</t>
    <phoneticPr fontId="6" type="noConversion"/>
  </si>
  <si>
    <t>Grendalsaga 3 P30</t>
    <phoneticPr fontId="6" type="noConversion"/>
  </si>
  <si>
    <t>Difficult</t>
    <phoneticPr fontId="6" type="noConversion"/>
  </si>
  <si>
    <t>Skin</t>
    <phoneticPr fontId="6" type="noConversion"/>
  </si>
  <si>
    <t>Crush</t>
    <phoneticPr fontId="6" type="noConversion"/>
  </si>
  <si>
    <t>Auroran Landcrab</t>
    <phoneticPr fontId="6" type="noConversion"/>
  </si>
  <si>
    <t>Deathleaper</t>
    <phoneticPr fontId="6" type="noConversion"/>
  </si>
  <si>
    <t>Dust Reaper</t>
    <phoneticPr fontId="6" type="noConversion"/>
  </si>
  <si>
    <t>New Canberra - Australia's Interstellar Heart P51</t>
    <phoneticPr fontId="6" type="noConversion"/>
  </si>
  <si>
    <t>Carrion Crow</t>
  </si>
  <si>
    <t>Confusion, Pestilence</t>
  </si>
  <si>
    <t>Cooper's Fox</t>
  </si>
  <si>
    <t>Ram</t>
    <phoneticPr fontId="6" type="noConversion"/>
  </si>
  <si>
    <t>1D10</t>
    <phoneticPr fontId="6" type="noConversion"/>
  </si>
  <si>
    <t>Flying Chaser - Gargoyle</t>
    <phoneticPr fontId="6" type="noConversion"/>
  </si>
  <si>
    <t>Gatherer - Beta Chimp</t>
    <phoneticPr fontId="6" type="noConversion"/>
  </si>
  <si>
    <t>Non-threatening</t>
    <phoneticPr fontId="6" type="noConversion"/>
  </si>
  <si>
    <t>Fur</t>
    <phoneticPr fontId="0"/>
  </si>
  <si>
    <t>Fur/Feathers</t>
    <phoneticPr fontId="0"/>
  </si>
  <si>
    <t>Skin</t>
    <phoneticPr fontId="0"/>
  </si>
  <si>
    <t>Skin</t>
    <phoneticPr fontId="0"/>
  </si>
  <si>
    <t>Poison</t>
    <phoneticPr fontId="6" type="noConversion"/>
  </si>
  <si>
    <t>An ape-like creature, they are unafraid of humans, but typically are not threatening. However, if a person is wearing a bright colored shirt, a male may think the human is a female to court.</t>
    <phoneticPr fontId="6" type="noConversion"/>
  </si>
  <si>
    <t>Fist</t>
    <phoneticPr fontId="6" type="noConversion"/>
  </si>
  <si>
    <t>Runners are gatherers and are brown in color and have long scraggly fur. They are small, fist, and hide well among low vegetation. They live in dens that they burrow.</t>
    <phoneticPr fontId="6" type="noConversion"/>
  </si>
  <si>
    <t>Claw</t>
    <phoneticPr fontId="6" type="noConversion"/>
  </si>
  <si>
    <t>Omnivore</t>
    <phoneticPr fontId="6" type="noConversion"/>
  </si>
  <si>
    <t>A small beast the size of a house cat, this three eyed creature has shaggy fur made of skin tendrils.</t>
    <phoneticPr fontId="6" type="noConversion"/>
  </si>
  <si>
    <t>Arnab-doub (Rabbit-bear) modified twice</t>
    <phoneticPr fontId="6" type="noConversion"/>
  </si>
  <si>
    <t>Dangerous</t>
    <phoneticPr fontId="6" type="noConversion"/>
  </si>
  <si>
    <t>Ferocious</t>
    <phoneticPr fontId="6" type="noConversion"/>
  </si>
  <si>
    <t>Easy</t>
    <phoneticPr fontId="6" type="noConversion"/>
  </si>
  <si>
    <t>Orb levitates whoever holds it.  The levitation is 12' up in 10 seconds.  The orb only lasts 10 seconds.</t>
  </si>
  <si>
    <t>Giggit Stage 2</t>
    <phoneticPr fontId="0" type="noConversion"/>
  </si>
  <si>
    <t>Druqui</t>
    <phoneticPr fontId="6" type="noConversion"/>
  </si>
  <si>
    <t>Tirane</t>
    <phoneticPr fontId="6" type="noConversion"/>
  </si>
  <si>
    <t>2-5</t>
  </si>
  <si>
    <t>6-8</t>
  </si>
  <si>
    <t>10-11</t>
  </si>
  <si>
    <t>7-8</t>
  </si>
  <si>
    <t>9-12</t>
  </si>
  <si>
    <t>Adaptive Coloration (Selective), Low-light vision, Enhaced Quickness three times per day for [Essence]D6 turns, Immunity to Poisons, Influence; Quickness multiplier for flying is 4, can only fly once per hour for [Essence]D6 turns</t>
  </si>
  <si>
    <t>Alicanto</t>
  </si>
  <si>
    <t>Highland DM+38 3095</t>
    <phoneticPr fontId="6" type="noConversion"/>
  </si>
  <si>
    <t>Venries</t>
    <phoneticPr fontId="6" type="noConversion"/>
  </si>
  <si>
    <t>DM's Choice</t>
    <phoneticPr fontId="6" type="noConversion"/>
  </si>
  <si>
    <t>Challenge #63 P35</t>
    <phoneticPr fontId="6" type="noConversion"/>
  </si>
  <si>
    <t>Beta Canum</t>
    <phoneticPr fontId="6" type="noConversion"/>
  </si>
  <si>
    <t>Yes</t>
    <phoneticPr fontId="6" type="noConversion"/>
  </si>
  <si>
    <t>Planet</t>
    <phoneticPr fontId="6" type="noConversion"/>
  </si>
  <si>
    <t>Aggressive</t>
    <phoneticPr fontId="6" type="noConversion"/>
  </si>
  <si>
    <t>Stealth</t>
    <phoneticPr fontId="6" type="noConversion"/>
  </si>
  <si>
    <t>Acid</t>
    <phoneticPr fontId="6" type="noConversion"/>
  </si>
  <si>
    <t xml:space="preserve">Travelling in small family herds, Braunbeasts are territorial and often fight each other over grazing land . The animals commonly mass several hun- dred pounds and possess thick, shaggy fur which varies in color from light tan to medium brown . They are very slow to react, but can inflict great injury by butting with their thickly armored heads.
</t>
    <phoneticPr fontId="6" type="noConversion"/>
  </si>
  <si>
    <t>Butt</t>
    <phoneticPr fontId="6" type="noConversion"/>
  </si>
  <si>
    <t>A graceful long legged herbivore of the Dranta species, Tarnders have elaborate bony crests that are used in mating rituals. In defense, they are much better protected by kicks from their strong legs. Most of the time, they will flee an encounter, and very swiftly. During the mating season, Tarnders of both sexes are unusually aggressive. They have 2 attacks per round, with a bonus of 1 to hit, during this time.</t>
    <phoneticPr fontId="6" type="noConversion"/>
  </si>
  <si>
    <t>Skin</t>
    <phoneticPr fontId="6" type="noConversion"/>
  </si>
  <si>
    <t>Heavy Hide</t>
    <phoneticPr fontId="6" type="noConversion"/>
  </si>
  <si>
    <t>This is an arnab-doub that has been fed Deep Ginger. Its resulting growth and hormonal changes make it dangerous.</t>
    <phoneticPr fontId="6" type="noConversion"/>
  </si>
  <si>
    <t>Herbivore</t>
    <phoneticPr fontId="6" type="noConversion"/>
  </si>
  <si>
    <t>1D6</t>
    <phoneticPr fontId="6" type="noConversion"/>
  </si>
  <si>
    <t>Dangerous</t>
    <phoneticPr fontId="6" type="noConversion"/>
  </si>
  <si>
    <t>Easy</t>
    <phoneticPr fontId="6" type="noConversion"/>
  </si>
  <si>
    <t>Light Hide</t>
    <phoneticPr fontId="6" type="noConversion"/>
  </si>
  <si>
    <t>Spines</t>
    <phoneticPr fontId="0"/>
  </si>
  <si>
    <t>Spines</t>
    <phoneticPr fontId="6" type="noConversion"/>
  </si>
  <si>
    <t>Kick</t>
    <phoneticPr fontId="6" type="noConversion"/>
  </si>
  <si>
    <t>Carnivore</t>
    <phoneticPr fontId="6" type="noConversion"/>
  </si>
  <si>
    <t>3D6</t>
    <phoneticPr fontId="6" type="noConversion"/>
  </si>
  <si>
    <t>Non-threatening</t>
    <phoneticPr fontId="6" type="noConversion"/>
  </si>
  <si>
    <t>Routine</t>
    <phoneticPr fontId="6" type="noConversion"/>
  </si>
  <si>
    <t>1D6 X 1D6</t>
    <phoneticPr fontId="6" type="noConversion"/>
  </si>
  <si>
    <t>Difficult</t>
    <phoneticPr fontId="6" type="noConversion"/>
  </si>
  <si>
    <t>Heavy Hide</t>
    <phoneticPr fontId="6" type="noConversion"/>
  </si>
  <si>
    <t>Claw</t>
    <phoneticPr fontId="6" type="noConversion"/>
  </si>
  <si>
    <t>Wilderness Survival</t>
    <phoneticPr fontId="6" type="noConversion"/>
  </si>
  <si>
    <t>Aurore Sourcebook P21/Kafer Dawn P10</t>
  </si>
  <si>
    <t>Aurore Sourcebook P23/Kafer Dawn P11</t>
  </si>
  <si>
    <t>Aurore Sourcebook P24/Kafer Dawn P11</t>
  </si>
  <si>
    <t>Aurore Sourcebook P24/Kafer Dawn P12</t>
  </si>
  <si>
    <t>Regeneration</t>
  </si>
  <si>
    <t>Engaging Banter</t>
  </si>
  <si>
    <t>6-30</t>
  </si>
  <si>
    <t>31-150</t>
  </si>
  <si>
    <t>151-300</t>
  </si>
  <si>
    <t>301-400</t>
  </si>
  <si>
    <t>11-80</t>
  </si>
  <si>
    <t>Aurore Sourcebook P20/Kafer Dawn P9</t>
  </si>
  <si>
    <t>1D10</t>
    <phoneticPr fontId="6" type="noConversion"/>
  </si>
  <si>
    <t>AGR</t>
    <phoneticPr fontId="6" type="noConversion"/>
  </si>
  <si>
    <t>FRS</t>
    <phoneticPr fontId="6" type="noConversion"/>
  </si>
  <si>
    <t>HTB</t>
    <phoneticPr fontId="6" type="noConversion"/>
  </si>
  <si>
    <t>RVR</t>
    <phoneticPr fontId="6" type="noConversion"/>
  </si>
  <si>
    <t>SEA</t>
    <phoneticPr fontId="6" type="noConversion"/>
  </si>
  <si>
    <t>Agricultural</t>
    <phoneticPr fontId="6" type="noConversion"/>
  </si>
  <si>
    <t>Forests, jungles, swamps</t>
    <phoneticPr fontId="6" type="noConversion"/>
  </si>
  <si>
    <t>Hotback</t>
    <phoneticPr fontId="6" type="noConversion"/>
  </si>
  <si>
    <t>River</t>
    <phoneticPr fontId="6" type="noConversion"/>
  </si>
  <si>
    <t>Seacoast</t>
    <phoneticPr fontId="6" type="noConversion"/>
  </si>
  <si>
    <t>Skin</t>
    <phoneticPr fontId="6" type="noConversion"/>
  </si>
  <si>
    <t>Bash</t>
    <phoneticPr fontId="6" type="noConversion"/>
  </si>
  <si>
    <t>Herbivore</t>
    <phoneticPr fontId="6" type="noConversion"/>
  </si>
  <si>
    <t>Non-threatening</t>
    <phoneticPr fontId="6" type="noConversion"/>
  </si>
  <si>
    <t>This creature has bat-like wings, but otherwise looks similar to gargoyle statues, hence the name. It attacks either with its belly spines or its claws. During reproductive season, they will incapacitate prey and implant larvae into it. The gargoyle then piles rocks on the hapless prey and the larvae eat it alive.</t>
    <phoneticPr fontId="6" type="noConversion"/>
  </si>
  <si>
    <t>Stinger</t>
    <phoneticPr fontId="6" type="noConversion"/>
  </si>
  <si>
    <t>This reptilian pack predator stands about 3 meters high. They are very aggressive and usually attack anything they see as prey. Their vision is poor, but they are nocturnal so it isn't a handicap. Their hides are armored with a hardened iron oxide paste that they regurgitate and apply to their skin.</t>
    <phoneticPr fontId="6" type="noConversion"/>
  </si>
  <si>
    <t>A large aquatic animal that fills the role of whales. It feeds on very small sea organisms via filtering and are not harmful to humans except through getting in the way of boats.</t>
    <phoneticPr fontId="6" type="noConversion"/>
  </si>
  <si>
    <t>The weasent is a long, sinewy, furry predator that seemingly combines the characteristics of a ferret and a boa constrictor. Weasents consume small prey and will never attack an adult human or even a child, although they have injured toddlers and infants. The weasent attacks by looping its long body around its prey. This attack is in addition to its biting attack, and if it succeeds, allows the creature to bite twice per round each round thereafter. This looping attack can also damage small creatures, but never anything larger than 10 kg.</t>
    <phoneticPr fontId="6" type="noConversion"/>
  </si>
  <si>
    <t>1D10 + 4</t>
    <phoneticPr fontId="6" type="noConversion"/>
  </si>
  <si>
    <t>Yes</t>
    <phoneticPr fontId="6" type="noConversion"/>
  </si>
  <si>
    <t>Bite</t>
    <phoneticPr fontId="6" type="noConversion"/>
  </si>
  <si>
    <t>Crush</t>
    <phoneticPr fontId="6" type="noConversion"/>
  </si>
  <si>
    <t>This is an arnab-doub that has been fed Deep Ginger. Its resulting growth and hormonal changes make it ferocious.</t>
    <phoneticPr fontId="6" type="noConversion"/>
  </si>
  <si>
    <t>10 X 1D6</t>
    <phoneticPr fontId="6" type="noConversion"/>
  </si>
  <si>
    <t>Plated Hide</t>
    <phoneticPr fontId="6" type="noConversion"/>
  </si>
  <si>
    <t>2D6</t>
    <phoneticPr fontId="6" type="noConversion"/>
  </si>
  <si>
    <t>1D4</t>
    <phoneticPr fontId="6" type="noConversion"/>
  </si>
  <si>
    <t>Non-threatening</t>
    <phoneticPr fontId="6" type="noConversion"/>
  </si>
  <si>
    <t>Difficult</t>
    <phoneticPr fontId="6" type="noConversion"/>
  </si>
  <si>
    <t>1D6</t>
    <phoneticPr fontId="6" type="noConversion"/>
  </si>
  <si>
    <t>Light Hide</t>
    <phoneticPr fontId="6" type="noConversion"/>
  </si>
  <si>
    <t>A tall, long legged, long necked, fast running lizard like creature with a bipedal gait, known for its elaborate crests and neck frills. The strutter has a passing resemblance to a naked emu wearing a strange hat. It is primarily an insectivore and will run if threatened, but will kick if it has to. Much like the Terran Meerkat, a group of strutters will post several sentries. If the sentries detect a predator or predator like creature within 25 meters, (Easy, modified by signature of creature) they will make clicking sounds, alarming the whole group, which will have an initiative bonus of 4 that round only. The Strutters will use this round to escape.</t>
    <phoneticPr fontId="6" type="noConversion"/>
  </si>
  <si>
    <t>A slow moving spiny herbivore with the size and disposition of a warthog and the natural defense of a porcupine. If bothered, it may waddle away, or stand and fight; it is difficult to predict their reactions. Special: The Porcupig can make one attack per action with a Routine chance, and one attack with an Easy chance against any opponent trying to make physical contact with it.</t>
    <phoneticPr fontId="6" type="noConversion"/>
  </si>
  <si>
    <t>While their size may belie it, gattos have a fearsome reputation, due to a special attack form that equalizes it against larger prey. Within their claws is a virulent poison, which causes the victim to convulse and die within ten minutes of injection. The gattos themselves are immune to the poison, which allows them to partake of the kill and which also provide medical scientists to develop an appropriate anti-venin. This protects residents and visitors alike in the gatto's range. Poison will call convulsions upon injection via scratch within five minutes of exposure, and death within ten. Anti-venin, if applied in time, will negate the effect within one minute of treatment.</t>
    <phoneticPr fontId="6" type="noConversion"/>
  </si>
  <si>
    <t>Claw</t>
    <phoneticPr fontId="6" type="noConversion"/>
  </si>
  <si>
    <t>Poison</t>
    <phoneticPr fontId="6" type="noConversion"/>
  </si>
  <si>
    <t>Exoskeleton</t>
    <phoneticPr fontId="6" type="noConversion"/>
  </si>
  <si>
    <t>A bat-like creature with additional fingers at it's "hand," the drukey is found in the southern areas of New Canberra, particularly in the Llano and Nuevas Malvinas regions. Subsisiting on local and introduced Terrestrial fruits, unlike Earth bats drukeys use their manipulative fingers and their legs to grab their food and take it to their nests. Their wings have a strength greater than their terrestrial counterparts to provide extra lift for carrying items as large as cantaloupes. Monotremes like most advanced Tiranean lifeforms, this carrying capacity is necessary to feed hatchlings. Drukeys are particularly interesting to xenobiologists, as they allow the scientists to a link similar to that which might have existed on Earth between bats and birds. However, the apple, pear, and modified peach growers of southern New Canberra find drukeys to be pests, and one of the chores orchard operators face is untangling drukeys from the nets covering the orchards.</t>
    <phoneticPr fontId="6" type="noConversion"/>
  </si>
  <si>
    <t>1D3</t>
    <phoneticPr fontId="6" type="noConversion"/>
  </si>
  <si>
    <t>Routine</t>
    <phoneticPr fontId="6" type="noConversion"/>
  </si>
  <si>
    <t xml:space="preserve">A deer-like animal, native to New Canberra's flatlands of both the Llano de Tierra Negra and the Pampa, has over the past few decades been domesticated for milk, meat, and eggs. However, unlike similar dranta species found elsewhere on Tirane, the jumbuck has developed a pouch in the underside of the female's body where the eggs are kept until hatching, as opposed to the creatures building nests. This allows jumbucks to live a nomadic, grazing lifestyle, and protects the eggs from drukeys and gattos that may come by. "Jumbuck" comes from the original Australian slang word for "sheep," based on Aboriginal terms for rams and ewes, and was applied to the native fauna as colonists began domesticating them. So, with the slang word for "sheep" now being used to name another creature, what do NovoCanos call actual sheep? Sheep. Will flee rather than attack, but if cornered will kick.
</t>
    <phoneticPr fontId="6" type="noConversion"/>
  </si>
  <si>
    <t>2D10</t>
    <phoneticPr fontId="6" type="noConversion"/>
  </si>
  <si>
    <t>The jaw is a particularly large and ill-tempered freshwater predator. It is roughly similar in overall shape to a pike or gar, but with a huge hinged jaw, full of needle-sharp teeth. Adults can attain sizes up to 3 metres in length, if allowed to grow for ten or more years in a food-rich environment, and very old specimens can grow even larger. Its various localised sub-families come in a variety of camouflaged patterns, usually in stripes. The fish are distributed among the river systems of Nouvelle Provence, but are commonest in the Congeuve, especially in its vast delta region. Here they are able to lurk amongst the vegetation and have a large range of prey to choose from. The truly enormous jaws of the Mâchoire can inflict a fatal injury with only one bite, so swimmers are advised not to enter the water in areas commonly inhabited by them. Since they live in swampy delta regions or in major river channels this is not usually a problem, but occasionally rogue specimens enter human frequented stretches of the riverbank.</t>
    <phoneticPr fontId="6" type="noConversion"/>
  </si>
  <si>
    <t>The dust reaper's range is the Pampa, particularly in the as yet undeveloped regions further away from the rivers of the region. They move from place to place within the swirling low- level air currents found throughout the Pampa, in dust kicked up by it. Subsisting on plant matter, dust reapers have found Terrestrial grains and plants unpalatable for some inexplicable reason, and thusly their range is increasingly being narrowed, as more of the Pampa come under human cultivation. Tiranean grains raised by human farmers, though, are finding dust reapers to be unwelcome pests. Indeed, it is the dust reaper's fondness for a native grass, also edible to humans, that is encouraging the conversion to Terran wheat, corn/maize, and other grains.</t>
    <phoneticPr fontId="6" type="noConversion"/>
  </si>
  <si>
    <t>Crapaud Tiranais (Tiranian Toad)</t>
    <phoneticPr fontId="6" type="noConversion"/>
  </si>
  <si>
    <t>No Stats</t>
    <phoneticPr fontId="6" type="noConversion"/>
  </si>
  <si>
    <t>Omnivore</t>
    <phoneticPr fontId="6" type="noConversion"/>
  </si>
  <si>
    <t>Herbivore</t>
    <phoneticPr fontId="6" type="noConversion"/>
  </si>
  <si>
    <t>One of the arachnid-like insects filling various niches in Tiranean ecosystems, the deathleaper is unique in its hunting style. With legs having wing-like appendages which are flapped to generate lift, the deathleaper is able to make enormous leaps of up to 5m high to catch avian creatures which are it's main prey. Upon detection, the deathleaper makes it's jump, and sprays it's venom up to one meter away at the intended target, then, as it reaches the top of it's jump, uses it's wing flaps to follow the victim to the ground. Deathleapers wait for their prey in the undergrowth of Duffer's Strip's jungles, using manipulative eystalks to scan above it. Deathleaper poison, while not lethal, will still cause acid-like burns on unprotected human skin.</t>
    <phoneticPr fontId="6" type="noConversion"/>
  </si>
  <si>
    <t>6D10</t>
    <phoneticPr fontId="6" type="noConversion"/>
  </si>
  <si>
    <t>Fur/Feathers</t>
    <phoneticPr fontId="6" type="noConversion"/>
  </si>
  <si>
    <t>Fur/Feathers</t>
    <phoneticPr fontId="6" type="noConversion"/>
  </si>
  <si>
    <t xml:space="preserve">The Crapaud Tiranais was the first of the giant amphibians to be studied in any detail, and it was this species that lent its name to the entire family. It was the terrific croaking bellow of the animals on land that led to the belief that all Tiranais amphibians were like terrestrial toads and frogs in terms of their croaking calls. This subsequently turned out not to be true, but the name had stuck. The Crapaud is a huge animal around 10 metres in length and weighing many tonnes. They fill a similar ecological niche to the extinct Terran Stellar’s Sea Cow, grazing on the extensive coastal weed beds of the northern coasts. Their lifestyle means the creatures are commonly seen floating in coastal waters, often right up near the shore. Some beaches boast viewing tours and visitors are encouraged to touch the docile and placid Crapauds. However, at one time it is inadvisable to approach them and that is when they drag their enormous grey-blue bodies ashore to mate. This usually takes place in the isolated northern islets of the Bijagos island chain. Here males become aggressive and hordes of amphibians jostle for beach-space and breeding rights. At such times the spectacular sight can be watched from popular charter boat rides, especially out of Bafoussam.
</t>
    <phoneticPr fontId="6" type="noConversion"/>
  </si>
  <si>
    <t>Crochets are the largest known examples of Crapauds Rouges. They are around 7 metres long and inhabit various regions, although primarily in brackish water such as river deltas and lakes. A seagoing sub-species preys extensively on Crapauds Tiranais off the northern coast. Equipped with a head as large as Tyrannosaurus Rex the Crochet is not to be underestimated! The animals are ambush predators and generally lurk at the bottom of shallow water waiting for substantial prey to approach. They are adept at hiding as their mud-brown and olive green colouring renders them camouflaged in the swampy depths. Indeed so well hidden and dangerous are they that whole areas are unsafe to swim in, although the main coastal resorts deploy nets and other devices to keep them out. Elsewhere hunters eagerly seek them out and often undertake scuba diving expeditions to track them down in their natural habitat. This is extremely dangerous and inadvisable, but appeals to the more daring sportsman!</t>
    <phoneticPr fontId="6" type="noConversion"/>
  </si>
  <si>
    <t>Although somewhat smaller than the Crochet (no specimens longer than 6 metres have been found) the Maipolina is regarded as the most feared and deadly aquatic predator in Nouvelle Provence. This is because the usual prey species of the Maipolina are large aquatic browsers, which usually lumber around in the shallows. They are not as swift as the Crochet and boast an even more formidable set of jaws. As a consequence they are drawn to large, slow prey, which sadly tends to include humans. The jaws of the beast are so powerful that almost any bite that connects with human prey is fatal. The tremendous power of the bite severs any limbs and will slice the trunk in two. Therefore, attacks by this creature are to be avoided at all costs, especially as the bite is also mildly poisonous. As the consummate Provençal ambush predator, Maipolina hides just offshore and then strikes with its lethal jaws. It is so adept that it is impossible to spot and gives no trace of its presence, even when it moves.</t>
    <phoneticPr fontId="6" type="noConversion"/>
  </si>
  <si>
    <t>Dilali is a ubiquitous small Crapaud Rouge. It is only about 80cm long and hunts smaller prey than its larger relative the Crochet. Unlike the bigger species the Dilali hunts by speed and stealth, lurking among murky waters and amongst weeds then chasing prey with lightning bursts of speed. Its colouring is usually mottled brown and its murky world is evidenced by the comparatively large and alarmingly featureless jet black eyes. Although common to all the rivers and lakes of the continent the creatures are occasionally more of a nuisance than humans deem acceptable. This tends to be around fish-farming areas, where the Dilali launches raids against the precious stocks. As a consequence the creature is widely persecuted and is finding its range increasingly restricted.</t>
    <phoneticPr fontId="6" type="noConversion"/>
  </si>
  <si>
    <t>Ndyoko are large, amphibious browsers and the commonest of the Crapauds Verts. In shape and habitat they resemble terrestrial manatees and dugongs, slow moving browsers that drift along the waterways and coasts of Tirane. Unlike manatees, however, they are salamander like in appearance and boast large expressionless black eyes. There are numerous sub-species making up the Ndyoko group, both fresh and salt water large and small (although none approaching the size of the Crapaud Tiranais). Colourings vary widely according to habitat and the creatures are found in every waterway and coastal region of Nouvelle Provence. In many places they are to be seen bobbing along the surface (they usually float along the surface, or just below, browsing) in such numbers that it is supposedly possible to walk across their backs and ford rivers without getting your feet wet. In truth large gatherings occur only in large bodies of brackish water, such as lakes and meandering rivers. A few of the sub-species are very palatable (although most aren’t).</t>
    <phoneticPr fontId="6" type="noConversion"/>
  </si>
  <si>
    <t>This creature is unlike any Earth species, as it fulfils the role of the smaller mammalian predators such as weasels and polecats. They are harmless to humans and actually quite beneficial as they catch vermin and keep down infestations. However, since they are close visual analogues to large tarantulas (large being up to one metre across and weighing several kilograms) they tend to be highly unnerving if not actually repulsive to human eyes. Of course like other Tiranian ‘arachnids’ they have a totally different biology and only look like spiders, but the feelings of fear and disgust are too deep-rooted in the human psyche to be removed easily. Still they continue to exist in large numbers and in many different types, throughout the whole of Arcadie. Almost every type is able to spin webs, another uncanny similarity, which was the source of the name, and use them to set up traps. With such comparatively big spinners the webs can be very large and are ubiquitous to all areas of the colony. This single factor is probably the most disquieting to newcomers. They give the appearance that the whole continent is overrun with enormous spiders, an idea that is essentially true. It should be noted though, that the Tourneur has never been known to attack humans. Needless to say some unfortunate accidents have occurred but the natural prey of the spinners are far smaller than people and they simply do not have any reason to attack humans. It is also true that as a whole the various species are timid and hide from man. It is usual for a house to have a few (usually the smaller types, the size of rats) who leave webs and catch pests but are never seen. There are no giant spiders lurking at the centre of webs, the structures have no obvious owners as the Tourneurs keep out of sight waiting for a catch. Human disquiet and blind persecution keeps the urban numbers down but the countryside is positively crawling with these harmless but menacing looking animals.</t>
    <phoneticPr fontId="6" type="noConversion"/>
  </si>
  <si>
    <t>The Scorner is a larger relative of the Griot, a large (2 metre tall) arboreal Drukey. They are distributed more widely than their cousins and are to be found in woodlands all over the colony, where they form large family groups. Mépriseurs are very distinctive animals, bright purple in colour and with a huge vocal range. It is this aural assault which earned the Scorner its name. Large animals approaching the Mépriseur family will be greeted by a tremendous chorus of noise, which is deeply reminiscent of a mob hurling abuse. This is very disconcerting and tends to have the desired effect in driving off intruders! So unpleasant is this calling that rich residents have taken to employing troupes to patrol their estates, setting up a startling hubbub if anyone trespasses. Despite this it is generally considered inadvisable to try to make pets of Mépriseurs, as they are quite large and unpredictable, not to mention offensive.</t>
    <phoneticPr fontId="6" type="noConversion"/>
  </si>
  <si>
    <t>A particularly endearing yet annoying variant of the Drukey, the Griot is known as a Chattering Monkey among the people of Nouvelle Provence. It is one of the Provençal varieties that are more ground than air based. These species are poor gliders and rely more on their arboreal agility, rather like Earth monkeys, yet they are undoubtedly Drukeys. The Griot is a superb mimic and is naturally friendly to humans. They are drawn to human settlements where they take up residence in roof spaces, outhouses and other locations. Once ensconced they hang around people imitating their speech and scavenging food. Since the average Griot is around a metre tall they are quite large and can cause lots of damage. Fortunately the range of the creatures is restricted to the tropical belt across central southern Nouvelle Provence and even here several chemical and natural remedies have been deployed which will keep the animals away from human habitations. There are large flocks to be found in the wild and these will gravitate towards any humans in the area.</t>
    <phoneticPr fontId="6" type="noConversion"/>
  </si>
  <si>
    <t>The Aquile is a specialised Drukey hunter, common and successful right across the colony. They resemble noting more than a small pterodactyl, with skin flaps for wings and small reptilian looking bodies. However, they are mammal analogues and have fur and warm blood. Their closest terrestrial equivalent is a large raptor, such as a buzzard or eagle, and they live similar lives. Most types hunt primarily Drukeys, but all are also partial to small ground animals and other fliers. In order to catch their primary prey they tend to inhabit the higher treetops and patrol at low altitude looking out for flocks.</t>
    <phoneticPr fontId="6" type="noConversion"/>
  </si>
  <si>
    <t>Most Provençal herbivores are quadrupeds, with the notable exception of the various species of Demi. These animals got their name when rugby-playing Frenchmen noted their tremendous speed and agility, weaving away from predators and adopting numerous evasion strategies. Thus they were likened to half-backs and the name has stuck. The creatures are divided into two main groups: the taller plains-dwellers and the shorter forest-dwellers. Both types bear the same physical characteristics, a round body atop two long, flexible legs and no discernible upper limbs, all topped off with a long, flexible neck and a long-snouted head. The plains varieties can be up to 3 metres tall, using their long necks to crop the upper leaves. Their height and long legs enable them to look out for and outpace predators. In forests they are shorter to enable them to twist among the trees, dodging acrobatically amongst the foliage. All varieties are well- camouflaged and boast extremely acute eyesight and hearing.</t>
    <phoneticPr fontId="6" type="noConversion"/>
  </si>
  <si>
    <t>The most common and best-recognised of the land-dwelling mammo- sauropods is the Badigui, a massive and truly impressive creature around 14 metres in length and 35 tonnes in weight. They resemble nothing more than a Jurassic sauropod of the more stocky variety, although they are furry and their heads are more bovine. Still the herds of up to 50 of the creatures that roam the plains and forest margins are incredibly impressive. Many tourists travel kilometres just to see them. The shaking of the ground, clouds of dust and tumultuous trumpeting cries make the spectacle awe-inspiring. However, in truth the Badigui and its ilk are a dying breed, they were rare even before the arrival of humans and are clearly animals dwindling as their epoch has passed. They face competition from smaller more efficient species and are restricted to a few thousand individuals and those only in the optimum habitats.</t>
    <phoneticPr fontId="6" type="noConversion"/>
  </si>
  <si>
    <t>The Massaude is so-called because its armoured face looks like a perpetual scowl. It is the Provençal equivalent of a rhinoceros, although it is more versatile and boasts a wider habitat. The average adult attains 4 metres in length and around 2 tonnes in weight, much of it accounted for by heavy leathery armoured plates. They are usually brown or grey in colour, although many have pie-bald blotches and there seem to be high incidences of albinism and melanism. Massuades are common throughout the colony, excluded only from the mountains and deserts. There are groups in the swamps, others in the forests and many roaming the plains. Oddly they have varying social structures in different regions, some gather into herds others stay solitary and some exist in small family groups. However, wherever they are found it is universally acknowledged that they are foul tasting and inedible. Thus they have escaped the clutches of the gastronomes who plague other Provençal species, although many are killed for sport and their heads are common trophies on the walls of hunters.</t>
    <phoneticPr fontId="6" type="noConversion"/>
  </si>
  <si>
    <t>One of a number of gigantiform species of Dranta, Irisi are large grazers common to many ecological areas of Nouvelle Provence. They resemble large, bulky Drantas and are clearly related, although they fulfil a different ecological function. The various Gigantas are mostly forest browsers, like elk on Earth, although they also exist in mountain and plains forms. Many sub-species are unhorned, but the Irisi boast massive branching antlers for defence and for digging for roots, since Irisi are a forest variety and dig among the woodland floor. Smaller types are more akin in size to Drantas but are bulkier and serve the role of goats and buffalo. A few are now being hunted for food and the idea of farming has come into vogue.</t>
    <phoneticPr fontId="6" type="noConversion"/>
  </si>
  <si>
    <t>This is the most common Provençal species of Drukey. It is similar to Drukeys found elsewhere on Tirane, but is a minor sub- species. It is primarily differentiated from its fellows by its slightly larger size and some differences in facial features, musculature and other minor and obscure factors obvious only to experts. It is common throughout the colony, in numerous localised varieties and fills the same niches as the Drukeys on other continents. Particularly large flocks are found throughout the Pays Verdant region with its extensive rainforest. In many areas Singeries are regarded as pests and culled to reduce numbers.</t>
    <phoneticPr fontId="6" type="noConversion"/>
  </si>
  <si>
    <t xml:space="preserve">The name Mbilintu refers to any of a number of lake-dwelling mammo- sauropod species. All of these creatures lurk among the waters of lakes and slower rivers, cropping the extremely lush vegetation at the edges. They are smaller than land-dwelling varieties and rarely attain more than 8 metres in length and 18 tonnes in weight. Nonetheless they fear only the Maipolina and the Crochet. These creatures are protected by law and live unmolested in their habitats across the continent, but are most common around the margins of Lac L’Oeil, where there are several colonies of the largest species. Their haunting cries and impressive physical presence make the lake take on a positively antediluvian atmosphere, especially when early morning mists descend and smother the waters at dawn.
</t>
    <phoneticPr fontId="6" type="noConversion"/>
  </si>
  <si>
    <t>By far the most common forest herbivore in the colony, Sangliers are large and pig-like beasts. If one removed their fur and narrowed their shovel like mouths into snouts they would be all but indistinguishable from Earth pigs. As it is the species are distributed right across the colony, primarily in forested regions, where they act as scavengers, but also in many other habitats. The largest specimens are to be found in the rainforests, reaching up to 3 metres in length and a tonne in weight. Just like terrestrial boars the Sanglier males are very savage and sport large tusks. These creatures are tough fighters and attract numerous hunters. Also like Earth pigs, Sangliers are very tasty and much sought after for food.</t>
    <phoneticPr fontId="6" type="noConversion"/>
  </si>
  <si>
    <t>The Salope is so-named because of its incredible fecundity. Early settlers observed that the females matured quickly and bred promiscuously with numerous males, thus sparking the association. The nickname stuck and now extends to all the similar Provençal sub-species of Dranté. There are minor differences between Arcadian Drantas and those of other areas, primarily in terms of ear shape and limb length, and of course the Arcadian species are even more fecund and numerous than their relatives. Certainly Arcadian Drantas are different enough to be recognised amongst the planet’s other Drantas, but are very clearly the same animal. The Salope are primarily browsers of the plains and savannahs of Arcadie, although some types inhabit hills, semi-deserts and the more open woodland.</t>
    <phoneticPr fontId="6" type="noConversion"/>
  </si>
  <si>
    <t>The Tortue is a uniquely Provençal animal, found nowhere else on Tirane. It is a massive armoured grazer, similar to an Ankylosaur, although more akin in appearance to the Megalodonts of South America. It is a huge shambling creature with a set of leathery plates on its tail, head and limbs and a massive carapace over its back. These defences make it essentially impervious to attack, even by the mighty Fon. These animals patrol the margins of the forests and scrubland areas, cropping the bushes and small trees. Since they are heavily armoured and massive they move slowly, ambling at little more than human walking pace along their well-trodden food-gathering routes. Usually solitary they come together only to mate, as the young are vulnerable to attack and need protection. As a consequence both parents stay together to defend their offspring, at which times they are extremely dangerous, threatening to trample any who dare approach their child. A mother usually gives birth to only a single young, and the maturing process takes half of the entire Grand Season of Spring, with no further breeding until the end of the succeeding GrandWinter. Thus the animals are very slow breeders and are protected by local law, since their slow cycle renders them uniquely vulnerable to depletion from hunting.</t>
    <phoneticPr fontId="6" type="noConversion"/>
  </si>
  <si>
    <t>The Tiranian Bear (known in French as the "Ours Tiranais") is a common sight in Nouvelle Provence, existing in the role of omnivorous scavenger and predator throughout the ecosystem. They are commonly hunted and are even known to enter human settlements and scavenge through refuse.</t>
    <phoneticPr fontId="6" type="noConversion"/>
  </si>
  <si>
    <t>Broches are small Babocarnés of the plains. They are considerably smaller than the Fon and very swift runners. However, their primary asset is their prodigious leaping ability. They use this to pounce upon prey and get at their vulnerable areas. They are also equipped with fully functional upper arms with large claws to cling onto their prey. The Broche hunts alone and is active for long periods without rest, patrolling constantly in its attempt to track down food. The species is distributed widely across the enormous plains of central Nouvelle Provence, and is still common right across the area. Within this wide swathe there are several varieties with subtly different colouring. All however, tend towards dusty tan shades or stripes of darker brown on an ochre or sand coloured backing. At only around 2 metres tall they are similar in height to humans and very small for Babocarnés. However, they are very light, only around 60 kilograms and tend not to tackle humans, preferring the smaller Dranta or Demi species. As a result they are rarely perceived as a threat and are left alone so long as they steer clear of livestock and urban areas.</t>
    <phoneticPr fontId="6" type="noConversion"/>
  </si>
  <si>
    <t>The Démon is a close relative of the Afanc, but is far more fearsome. It is similar in shape, but with a hyena-like long snout equipped with truly impressive jaws. They are similar in habit and appearance to the extinct giant hyenas of Earth prehistory, although they are a very dark brown like that of Earth black panthers with the same barely visible darker spots. Unfortunately they add a wolverine like ferocity to their deadly armament and are feared by humans throughout the colony. Démons fulfil the role of carrion eater and hijacker below that of the Fon, but with elements of bear’s omnivorous and all-round attributes. Their enormous jaws are used to crush and render edible the bones of large herbivores, bones that are left by other species as too hard to eat. Luckily they are rare and tend to be nocturnal which restricts their interaction with humans. This does not prevent them being feared and superstitious legends springing up around them.</t>
    <phoneticPr fontId="6" type="noConversion"/>
  </si>
  <si>
    <t xml:space="preserve">The Fon is the largest and most impressive of all the Provençal carnivores, the biggest and most powerful of the immense two-legged Babocarnés. It is best described as a nightmare cross between a baboon and a Tyrannosaurus Rex, except with a mouth full of razor sharp tusks and glowing red eyes! In size it roughly approximates the T-Rex, around 10 metres long, but stockier at about 5 tonnes in weight. Its outline is also similar, with small front limbs, a long balancing tail and a huge, terrifying maw, bristling with teeth. However, the Fon has a more upright posture, is stockier with a smaller tail and is covered by fur. All adult specimens boast a large mane or ruff of fur around the neck and a ridge of tufty hair along the spine. All sport camouflage, which varies slightly across the range. Like baboons Fons have heavy beetling brows, overshadowing their eyes, although in the case of the Fon the eyes are a truly menacing dull glowing scarlet, pinpoints of malevolent light from the dark recesses of its face! These animals are the primary land predators of the continent and exist right across the ecology, with the exception of dense woods, desert or mountains. Elsewhere they reign supreme and strike fear into all creatures. However, since they are so huge they are slow and tend to act as hijackers or attackers of the very large slow herbivores. Often they exist for long periods on carrion. </t>
    <phoneticPr fontId="6" type="noConversion"/>
  </si>
  <si>
    <t>A pack variety of Babocarné, the Meumeur is a man-sized pack hunter found all over the colony. They are unusual in that they operate as a family group and co-operate to bring down large prey. This style is versatile and has allowed the species to move into every habitat and region. Thus packs of between 3 and 10 individuals stake out territories all across Nouvelle Provence. The exact appearance of the animals varies according to their exact locale, tending towards appropriate camouflage. They share the Fon’s glowing red eyes and look alarmingly like humanoid demons in the half-light of dawn or dusk. Fortunately these cunning predators usually attack large prey and shy away from humans. Evidence suggests a sophisticated social structure and a complicated structure of territories and interaction among different groups.</t>
    <phoneticPr fontId="6" type="noConversion"/>
  </si>
  <si>
    <t>4D10</t>
    <phoneticPr fontId="6" type="noConversion"/>
  </si>
  <si>
    <t>Tusk</t>
    <phoneticPr fontId="6" type="noConversion"/>
  </si>
  <si>
    <t>Hadjel are large relatives of the Gatto that inhabit mountain and rugged regions across Arcadie. They have very cat-like bodies, but with enormous sabre- teeth like the terrestrial Smilodon. They use this fierce armament to reign supreme as the chief predators in their habitats. They lurk in ambush among the mountain boulders and predate the larger alpine species. However, they are shy and keep away from humans, so they are rarely seen. So timid are they that rumours of their existence went unproven for decades after the colony’s foundation, until a corpse was found having fallen into a valley. The adult Hadjel attains the size of a Siberian Tiger and is formidable both in combat ability and its mastery of the uplands. The pelt is marked much like a terrestrial Clouded Leopard and is in great demand among high-fashion clothing designers. Supply remains extremely limited though as the creature’s combination of timidity and great evasive ability render its hunters at a severe disadvantage.</t>
    <phoneticPr fontId="6" type="noConversion"/>
  </si>
  <si>
    <t>A long legged, long necked and very brightly colored herbivore, resembling an emu in ways but displaying very colorful, short fuzzy hair over its skin. The Vedeto is skittish and unusually sensitive to human presence- it has an amazing ability to make itself scarce when observers draw near and very few have been captured. The Vedeto’s forearms are joined to the body with thin, fuzzy membranes of skin, and it stretches these out like wings when running. Few fossils have been found that point to an evolutionary past, although research is continuing, so scientists currently do not know if the Vedeto has evolved away from flight, or is in fact evolving towards it. Although they are hard to approach, Vedetos are very visible from a distance. Their fuzz covered skin seems to sparkle in the sunlight, reflecting in prism-like patterns. Why a creature should evolve so as to be so obvious is unknown, especially as both sexes of the Vedeto display these bright, reflective colors.</t>
    <phoneticPr fontId="6" type="noConversion"/>
  </si>
  <si>
    <t xml:space="preserve">This is the largest creature native to the open country of western Cabralia. It is related to the Gargantacarnado of eastern Cabralia, but is adapted for life in steppes, prairies and open woodlands. Like its cousin, it is a big, bulky animal, and is primarily a peaceful herbivore. Like its cousin, its large throat chamber is used to signal and attract mates. Unlike its cousin, the Ululador does so not by flashing a brilliant red color, but by emitting a loud, multi-tonal wailing cry, a sound something between that emitted by a quartet of harmonious but half-starved coyotes and a set of bagpipes in poor repair. They travel in small herds, spending much of their time grazing, and defending themselves with their tusks, which are similar to those wielded by the Gargantacarnados, except in the case of these beasts, the upper jaw tusks are not mobile. </t>
    <phoneticPr fontId="6" type="noConversion"/>
  </si>
  <si>
    <t>Cheyans have thin, long legged bipedal bodies- some biologists have suggested structural similarities between them and long extinct small carnivorous dinosaurs of earth. There legs do appear birdlike, a result of convergent evolution, but their heads and necks are serpentine, with a jaw arrangement that opens very wide to reveal a set of knifelike razor sharp teeth designed for quick tearing. These creatures are pack scavengers, eating carrion, small game, occasional plants, and best known for their habits of steeling prey from larger carnivores. A pack of Cheyanswill surround a carnivore with its prey, and make darting feint attacks to draw its attention. When the carnivore is suitably distracted, some Cheyanswill dash towards the meal and tear off chunks with their razor sharp teeth, run a short distance, and drop the food. They will they return to help their packmates tear off further food. Among known hijackers, they are unique in that they never take all of the original meal from the carnivore that made the kill. This is an element of their survival strategy. They break off the attack with the original carnivore still keeping enough of the food for a minimal meal. The carnivore is left with the choices of eating what it has, or attempting to hunt down the Cheyans and ending up with nothing. They generally take the latter course. Despite their pack strategies, Cheyans are not as adaptable as Terran dogs, and where they have encountered them (in Campobelo, typically) they have lost ground to them. Cheyans are allowed 3 actions per turn instead of two, however, this pace tires them, and if a Cheyan has not obtained some food after 5 rounds it has a 30% chance per round of breaking off an attack. Thereafter, it will have just two actions per round.</t>
    <phoneticPr fontId="6" type="noConversion"/>
  </si>
  <si>
    <t>Beak</t>
    <phoneticPr fontId="6" type="noConversion"/>
  </si>
  <si>
    <t>2D6</t>
    <phoneticPr fontId="6" type="noConversion"/>
  </si>
  <si>
    <t>Aggressive</t>
    <phoneticPr fontId="6" type="noConversion"/>
  </si>
  <si>
    <t>Oxala’s native herd grazer, the Red Tarnder, is an adaptable animal that roams prairies, deserts and open woodlands from Central Oxala west to Nova Ostia. They avoid the dense forests of eastern Oxala, as the vegetation impedes their speed and vision, their primary defenses against predators. The animal is a mammalian appearing quadruped distantly related to the Jumbuck but more closely related to the other Tarnder species, including the Bald Tarnder of Sera do Prado. The Red Tarnders have a rich red pelt, the color of iron-rich clay, which, after acquiring dust from their travels, gives them excellent campflauge in the deserts of western Oxala. Following the plan of most herd grazers, they susbsist almost entirely on vegetation. The Red Tarnder is a skittish creature, quick to run. Given the choice, it will never choose to fight, but will lash out with strong kicks as a last resort. Like most grazers of open areas, they are highly visual animals with eyes set back to allow the widest possible field of vision. They have extremely acute eyesight, very sensitive to sudden motion.</t>
    <phoneticPr fontId="6" type="noConversion"/>
  </si>
  <si>
    <t>The ’Slug Beast’ is a creature that the Kafers decided to import from oneoftheirworlds. Itisa very large quadruped which possessesa bony armor that covers its en- tirebodyandis especially tough around the creature’sskull. Itisca- pable of hibernating for long periods of time, awakened by any un- usualheat, light, orsound
which might mean food. It attacks by striking its victims with its wiry fore- arms and by crushing t h e m i n i t s p o w e r f u lj a w s .</t>
    <phoneticPr fontId="6" type="noConversion"/>
  </si>
  <si>
    <t>Bash</t>
    <phoneticPr fontId="6" type="noConversion"/>
  </si>
  <si>
    <t>Oxala - Provincia do Brasil P21</t>
  </si>
  <si>
    <t>Oxala - Provincia do Brasil P20</t>
  </si>
  <si>
    <t>Exoskeleton</t>
    <phoneticPr fontId="6" type="noConversion"/>
  </si>
  <si>
    <t>This is the largest insect on Tirane (for the sake of simplicity, the small exo- skeletal life forms on Tirane are referred to as insects, even though they devieate significantly from Earth insects.). It is common to the coastal wetlands of the south, especially along the Peninsula Iridescente, where it hunts during warmer weather and becomes dormant (or sometimes dies off entirely, leaving only egs behind) during cooler cycles. The Zundor is a primitive creature, analogous to Earth’s dragon flies, having evolved its current form hundreds of millions of years ago. It is now confined to a few ecosystems. It is large and heavy for an insect, and emits a distinctive humming sound as it flies, much as an Earth hummingbird. The name "Zundor" is derived from a Portuguese root meaning "hummer". The Zundor hunts singly, in the twilight hours of morning and evening, skimming low over the wetlands as is searches for small aquatic creatures- typically those up to several centimeters in length, which it spears with its long, sharp, probiscus before hauling back to its nest. The probiscus of the Zundor is quite lethal- if you happen to be a Tiranean acquatic creature a few centimeters in length. On occasion, they have attacked humans, generally when provoked, or when the humans happen to be eating or handling fish. Their tend to fly away after scoring one hit, which does not cause real damage. The DPV in this case is used only to see if the wound penetrates armor, and it will never penetrate rigid armor. The victim recieves a painful, itchy rash that will persist from 4-40 hours. In rare cases a more severe reaction might result, non fatal, but incapacitating and requiring medical attention. (To avoid severe reaction to Zundor bite, Routine, 10 minutes, Size of victim and Medical skill of person treating bite) Zundors are about 60-100 grams, and are iridescent green, and are of no commercial value. Although more than one Zundor is often seen at one time, they do not coordinate their attacks in any way, and the appearance of multiple creatures is simply a matter of each competing for food in the same favorable area.</t>
    <phoneticPr fontId="6" type="noConversion"/>
  </si>
  <si>
    <t>This predator of forest, woodland, and wetland is related to the Weasent, but is much larger, and seeks larger prey. It is one of the few predators in Provincia do Brasil that will attack a human, typically a small human. Jacanthas are pack animals with a reputation for intelligence and agility. (They seem to combine in one animal the most dangerous traits of wolves and wolverines. ) They are known for watching potential prey for extended periods from hidden positions before striking. They can climb trees and swim well, but are not fast runners. Unable to catch swifter animals in an extended chase, they will position themselves ahead of prey and wait in ambush. Like wolves, they instinctively encirlcle prey. Their pelts are varigiated shades of gray and brown, evolved to provide concealment in shadowy forests. The pelts become thicker when the weather turns colder, and ther is some market for Jacantha fur in good condition, although hunting is severely restricted. Their packs are matriarchal, composed of a lead female, her mates, and those of her offspring that have not departed to form packs of their own. They range throughout all of eastern Cabralia, but are rare along the mountainous north coast. Typical game includes Tarnders and other herbivores.</t>
    <phoneticPr fontId="6" type="noConversion"/>
  </si>
  <si>
    <t>10-1000</t>
    <phoneticPr fontId="6" type="noConversion"/>
  </si>
  <si>
    <t>Resembling neither a dragon nor a bat in any but the loosest sense, this animal is a large, fury, winged carnivore which lives in mountainous regions but will often ex- tend its hunting flights over a hundred square kilometers or more. Though much larger than a man, it has hollow bones and a low body weight. Though capable of flight, it prefers to glide or ride updrafts and has little stamina for prolonged efforts. The Dragon- Bat has powerful teeth and sharp tearing claws plus a long, barbed tail which it uses with great effect in battle. Feared more because of their depredations to herds and fields than because of any direct threat to man, these beasts are occasionally known to attack humans, particularly when wounded.</t>
    <phoneticPr fontId="6" type="noConversion"/>
  </si>
  <si>
    <t>An omnivore about the size of a small elephant which is raised as a beast of burden and is sometimes used for food.</t>
    <phoneticPr fontId="6" type="noConversion"/>
  </si>
  <si>
    <t>Once described as a six-legged antelope, it is raised in small herds as a food source.</t>
    <phoneticPr fontId="6" type="noConversion"/>
  </si>
  <si>
    <t>A bipedal carnivore native to the uplands of Brunnquell similar to the now extinct Diatrema of the Ogliocene epoch on Earth. Their distress call is a loud, low- pitched hum, hence the name commonly applied to them by the early colonists. Hummers have all but lost their wings, but they retain highly developed claws on their legs with which they bring down their prey Hummers attack in family groups, usually of six or more individuals, chasing their prey to exhaustion and then moving in for the kill with great slashing leaps. Hummers are now large- ly restricted to the sparsely settled northwestern plains of Brunn- quell Hummers range from 100to 400 kilograms in weight, and from 1 to 2 meters in height.</t>
    <phoneticPr fontId="6" type="noConversion"/>
  </si>
  <si>
    <t>The Angel’s Web, which floats on a bag of hydrogen gas produced by electrolysis in ponds and streams and traps insects in its flight, bears far more similarity to Beowulf’s plants than to its animals despite mobility and a car- nivore’s diet.</t>
    <phoneticPr fontId="6" type="noConversion"/>
  </si>
  <si>
    <t>Only one substantial Nibelungen life form is present in the settled regions in any great numbers: the Spinnemaus (spider-mouse), a small, six-legged omnivore with a predilection for wall interiors, ventilating ducts, crawlspaces, and the back of kitchen cabinets. The creature has spread to practically every city on Nibelungen and is a major pest. Strict quarantine measures have kept the spider- mouse from reaching the orbital installations (so far).</t>
    <phoneticPr fontId="6" type="noConversion"/>
  </si>
  <si>
    <t>A fanged monstrosi- ty the size of a Terran pony, which patrols the northern coasts and mountains hunting amphibian game that comes here to breed. Miners in this region have named this creature “banshee” after its chilling cries and its ferocity.</t>
    <phoneticPr fontId="6" type="noConversion"/>
  </si>
  <si>
    <t>Flat, airborne creatures which resemble venetian blinds, or maybe Chinese kites, each “blind” edge is razor sharp, and they attack by swooping into prey edge-on; “blinds” are held together by a tether of edge materialwhich snaps when the creature splits.</t>
    <phoneticPr fontId="6" type="noConversion"/>
  </si>
  <si>
    <t>The Pferdvogel (or horsebird) is a large, flightless herbivore of the plains of Brunnquell. One species (H. bicolor) has been domesticated and serves as a food animal, but it still thrives in the wild as well The largest Hippoa- vians weigh nearly two tons (H. optimus), the smallest (H cer- vicelli) less than 80 kilograms.</t>
    <phoneticPr fontId="6" type="noConversion"/>
  </si>
  <si>
    <t>ThePapageitaucher is a small (. 1 kilogram) birdhodent of the Brunnquellanwoodlands, living a semi-burrowing existence in the undergrowth. Its small size and photophobic (light-shunning) lifestyle make it similar to Terran rats in some ways. As a result of their lifestyle, “Tauchers” (as they are called) have lost most of their feathers, retaining only a thin, downy coat (like a chick’s). Their wings have lost all capacity for flight, and they now possess two claw-structuresfor burrowing or stripping seeds from plants. G. laticlava is a pest to human farmers, and it accounts for significant crop losses each year despite active campaigns against them. A smaller form, G. kohli dwells in the Gelbwuste (yellow desert) south of the Baumberg moun- tain range.</t>
    <phoneticPr fontId="6" type="noConversion"/>
  </si>
  <si>
    <t>The Adlerhorst Albatross (Mareviator sempervolans), a Xenoavian flyer which has been known to remain aloft at sea for for more than
14 months, landing on remote islands only to nest and mate.</t>
    <phoneticPr fontId="6" type="noConversion"/>
  </si>
  <si>
    <t>Tubular creatureswith a hard outer coating, filled with oscillating, blade-like projections which shred prey, splashing inner surfaces with nutrients, some are equipped with hard spines on the outside, which allow movement (spines oscillating much like the inner blades), and some have outer vanes, the uses of which are unknown (theories include heat dissipation and aerodynamic stability), ingestion of prey by the spined type always results in accelerated spine motion, and thus forward motion.</t>
    <phoneticPr fontId="6" type="noConversion"/>
  </si>
  <si>
    <t>Tiny, swarming animals which are flat and roughly the size of a glass sliver (some bigger, of course); these are hard to spot and nearly impossible to remove, and they ride breezes since they have no mobile capacity.</t>
    <phoneticPr fontId="6" type="noConversion"/>
  </si>
  <si>
    <t>Rotini-shapedburrowers, found mostly in plants and upper layers of topsoil; they move like screws, eating as they move, and will enter anything that is in contact with the soil.</t>
    <phoneticPr fontId="6" type="noConversion"/>
  </si>
  <si>
    <t>Brother of the screwworm, but more prone to ingestion of minerals than of flesh, these creatures are found in’ the sand and water on and near the shore, and they do attack other organisms.</t>
    <phoneticPr fontId="6" type="noConversion"/>
  </si>
  <si>
    <t>Large areas of the planet’s surface are characterized by its dominant life form, a tiny creature known locally as the Kamelinsekt, or camel fly.
Kamelinsekts live in enormous colonies consisting of billions of individuals.Their social groups can occupy an area up to a mile in diameter, where they consume the sandy soil and excrete a form of cement with which they fabricate a honeycombed habitat up to ten meters deep. Here they breed a new generation before mov- ing on to a new location. Abandoned habitats tend to collect water, and it is very difficult to get it out of the billions of tiny fissures encased in the extremely hard resin. Approaching a Kamelinsekt habitat can be dangerous-though the creatures are relatively inoffensive, they can easily overwhelm and suffocatepeo- ple or clog up vehicle components by sheer weight of numbers.</t>
    <phoneticPr fontId="6" type="noConversion"/>
  </si>
  <si>
    <t>A featherless flyer dubbed the gallina desnudo (naked chicken) has been domesticated for its meat. It also helps control small pests. While the gallina has not developed a taste for Earth vegetables, there exist several species of crawling creatureswhich will happily decimate a young garden because of its extreme tenderness com- pared to native plants. The gallina preys on these small crawlers.</t>
    <phoneticPr fontId="6" type="noConversion"/>
  </si>
  <si>
    <t>A large form resembling a squid with its arms fused together, it stings its prey with a venom that can put a human in the hospital with violent muscle spasms for a week. Two deaths from heart failure have occurred due to this creature.</t>
    <phoneticPr fontId="6" type="noConversion"/>
  </si>
  <si>
    <t>One of the major herbivores of Paulo’s plains is the cervo draku, which migrates from arctics to tropics every fall.</t>
    <phoneticPr fontId="6" type="noConversion"/>
  </si>
  <si>
    <t>Like many of the animal life forms on Heidelsheimat, the bush bunnies have some gliding abilities. The dense air and low sur- face gravity of the planet have favored development of flying species. In the case of the bush bunnies, they often travel by hop- ping three or four meters into the air, then gliding on a wing-like membrane attached to their forelimbs for a distance of up to 1 0 0 meters if the wind is in their favor. This enables them to scout out the surrounding territory and see up over the tall underbrush. Bush babies which found a number of Earth vegetables irresistibly tasty. Unfortunately, the bush bun- nies’ digestive systems could not absorb any nutrient value from the Terran crops. Thousands of the creatures actually starved to death (after having gorged themselves for days on Earth vegetables) before a foolproof means could be found to keep them away form Terran plants.</t>
    <phoneticPr fontId="6" type="noConversion"/>
  </si>
  <si>
    <t>Larger carnivorous creatures range in size from the meter-long Austerhaifisch (oyster- shark, so-called because its head has a wide mouth which bears a fancied resemblance to that of shellfish) to the 15 meter Schreckenschwimmer (terror swimmer)</t>
    <phoneticPr fontId="6" type="noConversion"/>
  </si>
  <si>
    <t>Larger carnivorous creatures range in size from the meter-long Austerhaifisch (oyster- shark, so-called because its head has a wide mouth which bears a fancied resemblance to that of shellfish) to the 15 meter Schreckenschwimmer (terror swimmer)</t>
    <phoneticPr fontId="6" type="noConversion"/>
  </si>
  <si>
    <t>Small fish-like creatures that live in the upper meter or two of the bog (which is more open and easier for small animals to burrow through than the dark lower levels) During their breeding season, burrowers seek out Sumpfdotierblumen to lay their eggs on the buds (which flower and provide food for the developing larvae), and the creatures can be used as a guide to locating the valuable buds of this plant.</t>
    <phoneticPr fontId="6" type="noConversion"/>
  </si>
  <si>
    <t>The largest predator of Paulo is the gattinho da seva, which makes its home in the temperate forests and mountains. At 2 0 kilograms, it is easily large enough to handle the largest herbivores alone, but the gattinho most often hunts in family groups of three to eight, running down its prey in shifts. Gattinhos have been frequently known to attack Earth cattle, apparently unaware that they are deriving no nourishment at all from their kills. Poison baits were tried as a means of clearing them away from human set- tlements, but they seemed to be immune to most of the common poisons. Hunters now go into the wilderness regularly (in parties, for the gattinho is an excellent stalker and may hunt the hunters) to search out and shoot any gattinho that may have moved into the area. A smaller and faster cousin of the gattinho hunts the open plains.</t>
    <phoneticPr fontId="6" type="noConversion"/>
  </si>
  <si>
    <t>The lagartija puma (puma lizard), which masses some 70 kilograms and is capable of taking any type of livestock it fancies. It is fast but unarmored and has been hunted away from most ranches.</t>
    <phoneticPr fontId="6" type="noConversion"/>
  </si>
  <si>
    <t>Skimmers are reptile-likecreatures which run along the surface of the bog using wide, spatulate feet or burrow just beneath the surface in search of their prey When at rest, skim- mers inflate a flotation bladder to remain on the surface (they are air breathers). They are carnivorous, feeding on other small surface- dwelling creatures in the Nibelungen bogs, primarily burrowers.</t>
    <phoneticPr fontId="6" type="noConversion"/>
  </si>
  <si>
    <t>White
Wings can mass as much as 250 kilograms and are very dangerous carnivores which remotely resemble f u r y white pterodactyls.</t>
    <phoneticPr fontId="6" type="noConversion"/>
  </si>
  <si>
    <t>The Bergkatze (mountain cat) is known to live in the mountain regions on the south shore of the Westmeer.</t>
    <phoneticPr fontId="6" type="noConversion"/>
  </si>
  <si>
    <t>Rockrats mass only about one kilogram, but they attack in swarms. A swarm, on a sixgoat station could cost a manager ten animals, eaten to the bone in seconds by the tiny teeth of the rockrats</t>
    <phoneticPr fontId="6" type="noConversion"/>
  </si>
  <si>
    <t>Mire cows resemble Terran manatees externally, but differ radically in internal makeup. There are several genera, but they are enough alike to be simply described. Mire cows are between four and six meters long, smooth skinned, and generally a blue-grey or grey-green in color. They breath air, but can supplement this by absorbing small quantities of oxygen through their skin in order to extend their stay underwater (because of this and an extremely low metabolism, a full grown mire cow can stay under for nearly four hours). Mire cows are large, stupid, and slow, and their low metabolism would ordinarily make them very vulnerable to predators, but their chosen environment (the dank morass of the marshweed) provides them with excellent pro- tection. They are usually not dangerous but can overturn marsh- boats when enraged or defending their young. Marshboats mov- ing at high speed sometimes collide with sleeping mire cows, usual- ly severely damaging both parties.</t>
    <phoneticPr fontId="6" type="noConversion"/>
  </si>
  <si>
    <t>The tall fox is six-leggedlike the hulk, but it is slimmer and able to hold its forebody erect more easily Its coloration is similar to the Terran gray fox, including a luxuriant banner- like tail. There is also a desert variety of the tall fox, tan to sand in color, and smaller-bodied with larger extremities</t>
    <phoneticPr fontId="6" type="noConversion"/>
  </si>
  <si>
    <t>Herbivore</t>
    <phoneticPr fontId="6" type="noConversion"/>
  </si>
  <si>
    <t>1D6 X 1D10</t>
    <phoneticPr fontId="6" type="noConversion"/>
  </si>
  <si>
    <t>Light Hide</t>
    <phoneticPr fontId="6" type="noConversion"/>
  </si>
  <si>
    <t>he coyote-sized hakenklaue (hook claw) is distantly- related to the titans. It lacks the serrated beak of its larger relatives, and instead uses the single hook-like talon on its forelimbs to snag prey while on the run. It is a chaser-type predator, and often appears in packs of up to 20 individu- als. As a pack, they are capable of tak- ing down prey much larger than them- selves, and are indiscriminate in what they hunt. The two front “teeth” are actually a modified beak, made of similar kerati- nous material.</t>
    <phoneticPr fontId="6" type="noConversion"/>
  </si>
  <si>
    <t xml:space="preserve"> Often described as big, shaggy land- shrimp, their jaws are particularly strong to aid in eating tough plants on the tundra. Sixgoats are good sources of meat and skins.</t>
    <phoneticPr fontId="6" type="noConversion"/>
  </si>
  <si>
    <t>The “fair cow” is a six-legged herbivorous beast which has become a draft animal mostly because it is not any good to eat. A fair cow has a broad back which can be mounted with a seat for a passenger or simply packed with goods. They are sometimes attached to wagons in cleared areas. A fair cow can carry about twice as much weight as a horse, but the homesteaders would gladly trade them all in for horses. A fair cow is typically a stubborn, bad-tempered beast which exhibits a host of strange habits. For instance, when confronted with the color red, they freeze up until the red is out of sight, probably as a hard-wired defense against a now extinct predator.</t>
    <phoneticPr fontId="6" type="noConversion"/>
  </si>
  <si>
    <t>Carnivore</t>
    <phoneticPr fontId="6" type="noConversion"/>
  </si>
  <si>
    <t>5D6</t>
    <phoneticPr fontId="6" type="noConversion"/>
  </si>
  <si>
    <t>Light Hide</t>
    <phoneticPr fontId="6" type="noConversion"/>
  </si>
  <si>
    <t>The E-dog is a small, four-limbed creature with a flexible pig-likesnout, well adapted to tracking by scent and to hunting Wild E-dogs can be encountered in packs, but most of the animals are of the domestic variety. Like the E-horse, the E-dog has longer forelegs than back legs, but its head IS slightly more pronounced than the E-horse’s The combination of long forelegs and very little neck force the animal to kneel when feeding. however.</t>
    <phoneticPr fontId="6" type="noConversion"/>
  </si>
  <si>
    <t>This six-leggedbrowsing herbivore is common in both wild and domesticatedforms on Kormoran. Centaurs are routinely able to raise their forebodies up into a posture that gives rise to their name, and their forepaws are adapted to form claws, allowing them to grasp tree trunks and raise themselves to feed on higher branches.</t>
    <phoneticPr fontId="6" type="noConversion"/>
  </si>
  <si>
    <t>1D6 X 1D6</t>
    <phoneticPr fontId="6" type="noConversion"/>
  </si>
  <si>
    <t>Trample</t>
    <phoneticPr fontId="6" type="noConversion"/>
  </si>
  <si>
    <t>Like most Kormorese bird analogs, the cotta bird has six limbs, the forward pair are adapted as grasping claws, the middle pair as wings, and the rear pair as taloned feet. Cottas are scavengerssimilar to Terran vultures. Their primary importance to the Ebers is that a group of cotta birds circling on the horizon is generally an indication of the presence of an Eber desert settlement</t>
    <phoneticPr fontId="6" type="noConversion"/>
  </si>
  <si>
    <r>
      <t xml:space="preserve">The hulk </t>
    </r>
    <r>
      <rPr>
        <sz val="8"/>
        <rFont val="ArialMT"/>
        <family val="2"/>
      </rPr>
      <t xml:space="preserve">is a </t>
    </r>
    <r>
      <rPr>
        <sz val="9"/>
        <rFont val="ArialMT"/>
        <family val="2"/>
      </rPr>
      <t xml:space="preserve">six-legged, heavy-bodiedomnivorous hunter. </t>
    </r>
    <r>
      <rPr>
        <sz val="10"/>
        <rFont val="ArialMT"/>
        <family val="2"/>
      </rPr>
      <t xml:space="preserve">A </t>
    </r>
    <r>
      <rPr>
        <sz val="9"/>
        <rFont val="ArialMT"/>
        <family val="2"/>
      </rPr>
      <t xml:space="preserve">furred mammal analog, </t>
    </r>
    <r>
      <rPr>
        <sz val="8"/>
        <rFont val="ArialMT"/>
        <family val="2"/>
      </rPr>
      <t xml:space="preserve">its </t>
    </r>
    <r>
      <rPr>
        <sz val="9"/>
        <rFont val="ArialMT"/>
        <family val="2"/>
      </rPr>
      <t xml:space="preserve">fur ranges from </t>
    </r>
    <r>
      <rPr>
        <sz val="8"/>
        <rFont val="ArialMT"/>
        <family val="2"/>
      </rPr>
      <t xml:space="preserve">a </t>
    </r>
    <r>
      <rPr>
        <sz val="9"/>
        <rFont val="ArialMT"/>
        <family val="2"/>
      </rPr>
      <t xml:space="preserve">lightly striped pattern to </t>
    </r>
    <r>
      <rPr>
        <sz val="8"/>
        <rFont val="ArialMT"/>
        <family val="2"/>
      </rPr>
      <t xml:space="preserve">a </t>
    </r>
    <r>
      <rPr>
        <sz val="9"/>
        <rFont val="ArialMT"/>
        <family val="2"/>
      </rPr>
      <t xml:space="preserve">uniform brown-black. </t>
    </r>
    <r>
      <rPr>
        <sz val="10"/>
        <rFont val="ArialMT"/>
        <family val="2"/>
      </rPr>
      <t xml:space="preserve">This </t>
    </r>
    <r>
      <rPr>
        <sz val="9"/>
        <rFont val="ArialMT"/>
        <family val="2"/>
      </rPr>
      <t xml:space="preserve">creature </t>
    </r>
    <r>
      <rPr>
        <sz val="8"/>
        <rFont val="ArialMT"/>
        <family val="2"/>
      </rPr>
      <t xml:space="preserve">is </t>
    </r>
    <r>
      <rPr>
        <sz val="9"/>
        <rFont val="ArialMT"/>
        <family val="2"/>
      </rPr>
      <t xml:space="preserve">common in forests and highlands where </t>
    </r>
    <r>
      <rPr>
        <sz val="8"/>
        <rFont val="ArialMT"/>
        <family val="2"/>
      </rPr>
      <t xml:space="preserve">it </t>
    </r>
    <r>
      <rPr>
        <sz val="9"/>
        <rFont val="ArialMT"/>
        <family val="2"/>
      </rPr>
      <t xml:space="preserve">uses </t>
    </r>
    <r>
      <rPr>
        <sz val="8"/>
        <rFont val="ArialMT"/>
        <family val="2"/>
      </rPr>
      <t xml:space="preserve">its </t>
    </r>
    <r>
      <rPr>
        <sz val="9"/>
        <rFont val="ArialMT"/>
        <family val="2"/>
      </rPr>
      <t xml:space="preserve">impressive array of teeth to prey upon other forest creatures It </t>
    </r>
    <r>
      <rPr>
        <sz val="8"/>
        <rFont val="ArialMT"/>
        <family val="2"/>
      </rPr>
      <t xml:space="preserve">is </t>
    </r>
    <r>
      <rPr>
        <sz val="9"/>
        <rFont val="ArialMT"/>
        <family val="2"/>
      </rPr>
      <t xml:space="preserve">not much of a climber, but it can rear up on </t>
    </r>
    <r>
      <rPr>
        <sz val="8"/>
        <rFont val="ArialMT"/>
        <family val="2"/>
      </rPr>
      <t xml:space="preserve">its </t>
    </r>
    <r>
      <rPr>
        <sz val="9"/>
        <rFont val="ArialMT"/>
        <family val="2"/>
      </rPr>
      <t xml:space="preserve">back four legs to reach food, on the lower branches of trees or to fight with its front paws There </t>
    </r>
    <r>
      <rPr>
        <sz val="8"/>
        <rFont val="ArialMT"/>
        <family val="2"/>
      </rPr>
      <t xml:space="preserve">is </t>
    </r>
    <r>
      <rPr>
        <sz val="9"/>
        <rFont val="ArialMT"/>
        <family val="2"/>
      </rPr>
      <t xml:space="preserve">also </t>
    </r>
    <r>
      <rPr>
        <sz val="8"/>
        <rFont val="ArialMT"/>
        <family val="2"/>
      </rPr>
      <t xml:space="preserve">a </t>
    </r>
    <r>
      <rPr>
        <sz val="9"/>
        <rFont val="ArialMT"/>
        <family val="2"/>
      </rPr>
      <t xml:space="preserve">sandy-coloreddesert variety of hulk, with </t>
    </r>
    <r>
      <rPr>
        <sz val="8"/>
        <rFont val="ArialMT"/>
        <family val="2"/>
      </rPr>
      <t xml:space="preserve">a </t>
    </r>
    <r>
      <rPr>
        <sz val="9"/>
        <rFont val="ArialMT"/>
        <family val="2"/>
      </rPr>
      <t xml:space="preserve">reduced body size but larger ears and paws </t>
    </r>
    <phoneticPr fontId="6" type="noConversion"/>
  </si>
  <si>
    <t>Carnivore</t>
    <phoneticPr fontId="6" type="noConversion"/>
  </si>
  <si>
    <t>The E-horse is a grazing herbivore domesticated by the Ebers for use as a riding animal It has four limbs, the forward pair are longer than the rear, which helps the animal to reach the foliage of low trees with its long, slim trunk. This trunk is located near the top of the E-horse’s rudimentary head, and it allows the animal to carry food to its underslung jaws Of course, the trunk can also be used to pluck grasses and shrubs at ground level as well. Most E-horseson Kormoran are domesticated, but there are some mavericks that roam the fringes of the Great Desert where they are hunted by the Nomadic Ebers Domesticated E-horses are bred for various sizes and uses, the largest being capable of carrying their own plate armor and a fully armed and armored Eber.</t>
    <phoneticPr fontId="6" type="noConversion"/>
  </si>
  <si>
    <t>Ferocious</t>
    <phoneticPr fontId="6" type="noConversion"/>
  </si>
  <si>
    <t>1D4</t>
    <phoneticPr fontId="6" type="noConversion"/>
  </si>
  <si>
    <t>Ram</t>
    <phoneticPr fontId="6" type="noConversion"/>
  </si>
  <si>
    <t>The largest of the gruntbuggly species, the great sniper, feeds exclusively on predators that it lures to its burrow It leaves rotting food outside the entrance, then makes scuffling noises to lure the unfortunate victim inside. There it either fires point-blank into its prey or gores the creature with its three-kilogram tusk The great sniper hardly ever needs to move from its burrow, as its meals deliver themselves.</t>
    <phoneticPr fontId="6" type="noConversion"/>
  </si>
  <si>
    <t>Herbivore</t>
    <phoneticPr fontId="6" type="noConversion"/>
  </si>
  <si>
    <t>1D10 X 1D6</t>
    <phoneticPr fontId="6" type="noConversion"/>
  </si>
  <si>
    <t>Sea dragons are giant 20-meter sea creatures that travel alone, but swarm in packs when food is discovered Each sea dragon has SIX paddle-shapedlimbs and a three-meter sinuous neck surmounted by a meter-long, tooth-filled head. Sea dragons feed on shoals of fish, on other sea dragons, on curtain dragons, or on nearly anything else that moves They are hunted by the Civilized Ebers with harpoons, an occupation that is as dangerous to the Ebers as to the sea dragons One curious custom sometimes practiced by Eber fishermen is to catch and butcher a sea dragon, then throw its carcass back into the sea. The Ebers claim that this results in a large catch of macroplankton, pelagic crustaceans, and the like. Eberologistsare fascinated by this tale, citing It as a modern derivative of ancient myths of an Eber sea-god</t>
    <phoneticPr fontId="6" type="noConversion"/>
  </si>
  <si>
    <t>Communal gruntbugglies are small creatures that live in shared burrows containing whole colonies of the animals They feed on the roots of plants that they reach by burrowing, and they project their fecal pellets into the ceilings of their tunnels, fertiliz- ing the ground above
This subterranean lifestyle means that they almost never have to leave their tunnel complexes, and as a consequence, they are rarely seen by humans, although their burrows are very com- mon Communal gruntbugglies have rodent-like front teeth to gnaw on roots and to help in burrowing through obstacles.</t>
    <phoneticPr fontId="6" type="noConversion"/>
  </si>
  <si>
    <t xml:space="preserve">Grabbers have large tong-shaped jaws to carry prey to their subterranean burrows where it is fed to their queen and her larvae Grabbers can also attack living targets; several of them will combine to carry away a struggling victim. </t>
    <phoneticPr fontId="6" type="noConversion"/>
  </si>
  <si>
    <t>Although somewhat shorter (18 meters) and fatter than sea dragons, cur- tain dragons are otherwise very similar in appearance to them However, this similarity in ap- pearance is hidden by the great masses of sea plants that affix themselves to these slow-moving creatures and dangle their ropy tendrils deep into the sea It is from these veritable sheets of plant tendrils that curtain dragons get their name. The sea dragons serve as mobile supports for the plant growth on their backs, lifting these plants into the light and carrying them into nutrient-rich waters In return, the plants grow long tendrils that act as seines, sweeping up large numbers of macroplankton as the sea dragons swim slowly along It is upon these macroplankton that the curtain dragons feed, sucking their accumulated numbers from the plant tendrils. Although they are usually peaceful creatures. sea dragons can be unpredictable.</t>
    <phoneticPr fontId="6" type="noConversion"/>
  </si>
  <si>
    <t>Chasers have multiple legs and dark bodies carried close to the ground. Their eyes seem to function on some infrared or light amplification system, as they are quite at home in the blackness, and if the Rangers use flares, the creatures will be dazzled and disoriented for a moment but will quickly regroup to violently attack the source of light and smother it with their bodies.</t>
    <phoneticPr fontId="6" type="noConversion"/>
  </si>
  <si>
    <t>Cutters carry large scythe-like jaws on their flat, dish-shaped heads. Their job is to slice up creatures siunried by the sparklers so that the grabbers can carry them away They can also attack unstunned targets.</t>
    <phoneticPr fontId="6" type="noConversion"/>
  </si>
  <si>
    <t>Sparklers have bulbous heads with no visible jaws, but they spray a fine ionized aerosol that drifts downwind in a cloud onto their target. Then electrical organs charge the cloud, doing electrical stun damage.</t>
    <phoneticPr fontId="6" type="noConversion"/>
  </si>
  <si>
    <t>Electricity</t>
    <phoneticPr fontId="6" type="noConversion"/>
  </si>
  <si>
    <t>Description:</t>
    <phoneticPr fontId="6" type="noConversion"/>
  </si>
  <si>
    <t>Aggressive</t>
    <phoneticPr fontId="6" type="noConversion"/>
  </si>
  <si>
    <t>Nightmare, Chaser</t>
    <phoneticPr fontId="6" type="noConversion"/>
  </si>
  <si>
    <t>Nightmare, Cutter</t>
    <phoneticPr fontId="6" type="noConversion"/>
  </si>
  <si>
    <t>Nightmare, Grabber</t>
    <phoneticPr fontId="6" type="noConversion"/>
  </si>
  <si>
    <t>Nightmare, Queen</t>
    <phoneticPr fontId="6" type="noConversion"/>
  </si>
  <si>
    <t>Nightmare, Sparkler</t>
    <phoneticPr fontId="6" type="noConversion"/>
  </si>
  <si>
    <t>Formidable</t>
    <phoneticPr fontId="6" type="noConversion"/>
  </si>
  <si>
    <t>The omnivorous sharpshooter, a larger version of the sharp- shooter described above, supplements its fruit diet with insects and small animals that it knocks from plants This creature aims at these mobile targets by looking back between its legs, which have spines that seem to serve as sighting aids.</t>
    <phoneticPr fontId="6" type="noConversion"/>
  </si>
  <si>
    <t>The sniper is a larger gruntbuggly that has left its herbivorous ancestry behind and developed an entirely carnivorous diet. Its pellets are of such size and propelled with such force as to be able to stun animals as large as Ebers The sniper’s inner leg spines are much heavier than those of the sharpshooters, serving as an aid in carrying its incapacitated prey back into the burrow The sniper’s rodent-like front teeth have evolved into tusks, useful both for digging and for killing prey.</t>
    <phoneticPr fontId="6" type="noConversion"/>
  </si>
  <si>
    <t>This type of gruntbuggly is a fruit eater that has adapted its behavior to allow it to feed on succulent fruits that grow high above the ground The sharpshooter gruntbuggly propels a fecal pellet to knock such fruit loose from high branches, then the gruntbuggly scurries forth to retrieve it. Sharpshooters live singly in burrows, though several such burrows may be located near to one another</t>
    <phoneticPr fontId="6" type="noConversion"/>
  </si>
  <si>
    <t>The nightmares only have one queen per valley colony, as her brood can scavenge an area clean of most competition. The queen spends her entire life several hundred meters deep in a burrow. Each brood numbers in the hundreds of mature hunters, plus several dozen larvae and nurse castes.</t>
    <phoneticPr fontId="6" type="noConversion"/>
  </si>
</sst>
</file>

<file path=xl/styles.xml><?xml version="1.0" encoding="utf-8"?>
<styleSheet xmlns="http://schemas.openxmlformats.org/spreadsheetml/2006/main">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0.0"/>
  </numFmts>
  <fonts count="15">
    <font>
      <sz val="9"/>
      <name val="Geneva"/>
    </font>
    <font>
      <b/>
      <sz val="9"/>
      <name val="Geneva"/>
    </font>
    <font>
      <sz val="9"/>
      <name val="Geneva"/>
    </font>
    <font>
      <sz val="10"/>
      <name val="Geneva"/>
    </font>
    <font>
      <sz val="12"/>
      <name val="Bookman"/>
    </font>
    <font>
      <b/>
      <sz val="12"/>
      <name val="Bookman"/>
    </font>
    <font>
      <sz val="8"/>
      <name val="Verdana"/>
    </font>
    <font>
      <sz val="8"/>
      <name val="Geneva"/>
    </font>
    <font>
      <sz val="14"/>
      <name val="Geneva"/>
    </font>
    <font>
      <b/>
      <sz val="10"/>
      <name val="Geneva"/>
    </font>
    <font>
      <sz val="9"/>
      <color indexed="10"/>
      <name val="Geneva"/>
    </font>
    <font>
      <sz val="9"/>
      <name val="Helvetica"/>
    </font>
    <font>
      <sz val="9"/>
      <name val="ArialMT"/>
      <family val="2"/>
    </font>
    <font>
      <sz val="8"/>
      <name val="ArialMT"/>
      <family val="2"/>
    </font>
    <font>
      <sz val="10"/>
      <name val="ArialMT"/>
      <family val="2"/>
    </font>
  </fonts>
  <fills count="2">
    <fill>
      <patternFill patternType="none"/>
    </fill>
    <fill>
      <patternFill patternType="gray125"/>
    </fill>
  </fills>
  <borders count="5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29">
    <xf numFmtId="0" fontId="0" fillId="0" borderId="0" xfId="0"/>
    <xf numFmtId="0" fontId="0" fillId="0" borderId="43" xfId="0" applyBorder="1"/>
    <xf numFmtId="0" fontId="0" fillId="0" borderId="0" xfId="0" applyBorder="1"/>
    <xf numFmtId="0" fontId="0" fillId="0" borderId="28" xfId="0" applyBorder="1"/>
    <xf numFmtId="0" fontId="0" fillId="0" borderId="30" xfId="0" applyBorder="1"/>
    <xf numFmtId="0" fontId="1" fillId="0" borderId="0" xfId="0" applyFont="1" applyAlignment="1">
      <alignment horizontal="center"/>
    </xf>
    <xf numFmtId="0" fontId="2" fillId="0" borderId="0" xfId="0" applyFont="1" applyAlignment="1">
      <alignment horizontal="center"/>
    </xf>
    <xf numFmtId="0" fontId="2" fillId="0" borderId="0" xfId="0" applyFont="1"/>
    <xf numFmtId="0" fontId="1" fillId="0" borderId="0" xfId="0" applyFont="1" applyBorder="1" applyAlignment="1">
      <alignment horizontal="center"/>
    </xf>
    <xf numFmtId="0" fontId="0" fillId="0" borderId="0" xfId="0" applyBorder="1" applyAlignment="1">
      <alignment horizontal="center"/>
    </xf>
    <xf numFmtId="0" fontId="0" fillId="0" borderId="30" xfId="0" applyBorder="1" applyAlignment="1">
      <alignment horizontal="center"/>
    </xf>
    <xf numFmtId="0" fontId="0" fillId="0" borderId="0" xfId="0" applyFill="1" applyBorder="1"/>
    <xf numFmtId="0" fontId="0" fillId="0" borderId="0" xfId="0" applyFill="1" applyBorder="1" applyAlignment="1">
      <alignment horizontal="center"/>
    </xf>
    <xf numFmtId="0" fontId="0" fillId="0" borderId="30" xfId="0" applyFill="1" applyBorder="1" applyAlignment="1">
      <alignment horizontal="center"/>
    </xf>
    <xf numFmtId="0" fontId="2" fillId="0" borderId="0" xfId="0" applyFont="1" applyFill="1" applyBorder="1" applyAlignment="1">
      <alignment horizontal="center"/>
    </xf>
    <xf numFmtId="0" fontId="1" fillId="0" borderId="0" xfId="0" applyFont="1" applyBorder="1"/>
    <xf numFmtId="1" fontId="2" fillId="0" borderId="0" xfId="0" applyNumberFormat="1" applyFont="1" applyFill="1" applyBorder="1" applyAlignment="1">
      <alignment horizontal="center"/>
    </xf>
    <xf numFmtId="9" fontId="0" fillId="0" borderId="28" xfId="0" applyNumberFormat="1" applyBorder="1"/>
    <xf numFmtId="9" fontId="0" fillId="0" borderId="11" xfId="0" applyNumberFormat="1" applyBorder="1"/>
    <xf numFmtId="0" fontId="1" fillId="0" borderId="1" xfId="0" applyFont="1" applyBorder="1"/>
    <xf numFmtId="0" fontId="1" fillId="0" borderId="2" xfId="0" applyFont="1" applyBorder="1" applyAlignment="1">
      <alignment horizontal="center"/>
    </xf>
    <xf numFmtId="0" fontId="1" fillId="0" borderId="12" xfId="0" applyFont="1" applyBorder="1" applyAlignment="1">
      <alignment horizontal="center"/>
    </xf>
    <xf numFmtId="0" fontId="0" fillId="0" borderId="8" xfId="0" applyBorder="1"/>
    <xf numFmtId="0" fontId="0" fillId="0" borderId="9" xfId="0" applyBorder="1" applyAlignment="1">
      <alignment horizontal="center"/>
    </xf>
    <xf numFmtId="0" fontId="0" fillId="0" borderId="19" xfId="0" applyBorder="1"/>
    <xf numFmtId="0" fontId="0" fillId="0" borderId="20" xfId="0" applyBorder="1" applyAlignment="1">
      <alignment horizontal="center"/>
    </xf>
    <xf numFmtId="0" fontId="0" fillId="0" borderId="21" xfId="0" applyBorder="1" applyAlignment="1">
      <alignment horizontal="center"/>
    </xf>
    <xf numFmtId="0" fontId="1" fillId="0" borderId="12" xfId="0" applyFont="1" applyBorder="1"/>
    <xf numFmtId="0" fontId="0" fillId="0" borderId="20" xfId="0" applyBorder="1"/>
    <xf numFmtId="0" fontId="0" fillId="0" borderId="8" xfId="0" applyFill="1" applyBorder="1"/>
    <xf numFmtId="0" fontId="0" fillId="0" borderId="19" xfId="0" applyFill="1" applyBorder="1"/>
    <xf numFmtId="0" fontId="0" fillId="0" borderId="20" xfId="0" applyFill="1" applyBorder="1" applyAlignment="1">
      <alignment horizontal="center"/>
    </xf>
    <xf numFmtId="0" fontId="1" fillId="0" borderId="1" xfId="0" applyFont="1" applyFill="1" applyBorder="1"/>
    <xf numFmtId="0" fontId="2" fillId="0" borderId="8" xfId="0" applyFont="1" applyFill="1" applyBorder="1"/>
    <xf numFmtId="0" fontId="2" fillId="0" borderId="19" xfId="0" applyFont="1" applyFill="1" applyBorder="1"/>
    <xf numFmtId="0" fontId="2" fillId="0" borderId="8" xfId="0" applyFont="1" applyBorder="1" applyAlignment="1">
      <alignment horizontal="center"/>
    </xf>
    <xf numFmtId="9" fontId="0" fillId="0" borderId="33" xfId="0" applyNumberFormat="1" applyBorder="1"/>
    <xf numFmtId="0" fontId="0" fillId="0" borderId="2" xfId="0" applyBorder="1"/>
    <xf numFmtId="0" fontId="1" fillId="0" borderId="2" xfId="0" applyFont="1" applyBorder="1" applyAlignment="1">
      <alignment horizontal="right"/>
    </xf>
    <xf numFmtId="1" fontId="2" fillId="0" borderId="13" xfId="0" applyNumberFormat="1" applyFont="1" applyFill="1" applyBorder="1" applyAlignment="1">
      <alignment horizontal="center"/>
    </xf>
    <xf numFmtId="1" fontId="2" fillId="0" borderId="3" xfId="0" applyNumberFormat="1" applyFont="1" applyFill="1" applyBorder="1" applyAlignment="1">
      <alignment horizontal="center"/>
    </xf>
    <xf numFmtId="1" fontId="2" fillId="0" borderId="16" xfId="0" applyNumberFormat="1" applyFont="1" applyFill="1" applyBorder="1" applyAlignment="1">
      <alignment horizontal="center"/>
    </xf>
    <xf numFmtId="1" fontId="2" fillId="0" borderId="17" xfId="0" applyNumberFormat="1" applyFont="1" applyFill="1" applyBorder="1" applyAlignment="1">
      <alignment horizontal="center"/>
    </xf>
    <xf numFmtId="0" fontId="0" fillId="0" borderId="34" xfId="0" applyFill="1" applyBorder="1"/>
    <xf numFmtId="0" fontId="2" fillId="0" borderId="34" xfId="0" applyFont="1" applyFill="1" applyBorder="1"/>
    <xf numFmtId="0" fontId="0" fillId="0" borderId="31" xfId="0" applyBorder="1" applyAlignment="1">
      <alignment horizontal="center"/>
    </xf>
    <xf numFmtId="1" fontId="0" fillId="0" borderId="30" xfId="0" applyNumberFormat="1" applyBorder="1" applyAlignment="1">
      <alignment horizontal="center"/>
    </xf>
    <xf numFmtId="1" fontId="0" fillId="0" borderId="0" xfId="0" applyNumberFormat="1" applyBorder="1" applyAlignment="1">
      <alignment horizontal="center"/>
    </xf>
    <xf numFmtId="1" fontId="0" fillId="0" borderId="20" xfId="0" applyNumberFormat="1" applyBorder="1" applyAlignment="1">
      <alignment horizontal="center"/>
    </xf>
    <xf numFmtId="0" fontId="1" fillId="0" borderId="2" xfId="0" applyFont="1" applyBorder="1"/>
    <xf numFmtId="0" fontId="1" fillId="0" borderId="8" xfId="0" applyFont="1" applyBorder="1"/>
    <xf numFmtId="0" fontId="1" fillId="0" borderId="0" xfId="0" applyFont="1" applyBorder="1" applyAlignment="1">
      <alignment horizontal="right"/>
    </xf>
    <xf numFmtId="0" fontId="0" fillId="0" borderId="9" xfId="0" applyBorder="1"/>
    <xf numFmtId="0" fontId="1" fillId="0" borderId="8" xfId="0" applyFont="1" applyFill="1" applyBorder="1"/>
    <xf numFmtId="1" fontId="2" fillId="0" borderId="14" xfId="0" applyNumberFormat="1" applyFont="1" applyFill="1" applyBorder="1" applyAlignment="1">
      <alignment horizontal="center"/>
    </xf>
    <xf numFmtId="1" fontId="2" fillId="0" borderId="7" xfId="0" applyNumberFormat="1" applyFont="1" applyFill="1" applyBorder="1" applyAlignment="1">
      <alignment horizontal="center"/>
    </xf>
    <xf numFmtId="1" fontId="2" fillId="0" borderId="28" xfId="0" applyNumberFormat="1" applyFont="1" applyFill="1" applyBorder="1" applyAlignment="1">
      <alignment horizontal="center"/>
    </xf>
    <xf numFmtId="1" fontId="2" fillId="0" borderId="0" xfId="0" quotePrefix="1" applyNumberFormat="1" applyFont="1" applyFill="1" applyBorder="1" applyAlignment="1">
      <alignment horizontal="center"/>
    </xf>
    <xf numFmtId="1" fontId="2" fillId="0" borderId="43" xfId="0" quotePrefix="1" applyNumberFormat="1" applyFont="1" applyFill="1" applyBorder="1" applyAlignment="1">
      <alignment horizontal="center"/>
    </xf>
    <xf numFmtId="1" fontId="2" fillId="0" borderId="9" xfId="0" applyNumberFormat="1" applyFont="1" applyFill="1" applyBorder="1" applyAlignment="1">
      <alignment horizontal="center"/>
    </xf>
    <xf numFmtId="1" fontId="2" fillId="0" borderId="10" xfId="0" applyNumberFormat="1" applyFont="1" applyFill="1" applyBorder="1" applyAlignment="1">
      <alignment horizontal="center"/>
    </xf>
    <xf numFmtId="1" fontId="2" fillId="0" borderId="11" xfId="0" applyNumberFormat="1" applyFont="1" applyFill="1" applyBorder="1" applyAlignment="1">
      <alignment horizontal="center"/>
    </xf>
    <xf numFmtId="1" fontId="2" fillId="0" borderId="10" xfId="0" quotePrefix="1" applyNumberFormat="1" applyFont="1" applyFill="1" applyBorder="1" applyAlignment="1">
      <alignment horizontal="center"/>
    </xf>
    <xf numFmtId="1" fontId="2" fillId="0" borderId="44" xfId="0" applyNumberFormat="1" applyFont="1" applyFill="1" applyBorder="1" applyAlignment="1">
      <alignment horizontal="center"/>
    </xf>
    <xf numFmtId="1" fontId="2" fillId="0" borderId="33" xfId="0" applyNumberFormat="1" applyFont="1" applyFill="1" applyBorder="1" applyAlignment="1">
      <alignment horizontal="center"/>
    </xf>
    <xf numFmtId="1" fontId="2" fillId="0" borderId="20" xfId="0" applyNumberFormat="1" applyFont="1" applyFill="1" applyBorder="1" applyAlignment="1">
      <alignment horizontal="center"/>
    </xf>
    <xf numFmtId="1" fontId="0" fillId="0" borderId="0" xfId="0" applyNumberFormat="1" applyFill="1" applyBorder="1"/>
    <xf numFmtId="1" fontId="2" fillId="0" borderId="2" xfId="0" applyNumberFormat="1" applyFont="1" applyFill="1" applyBorder="1" applyAlignment="1">
      <alignment horizontal="center"/>
    </xf>
    <xf numFmtId="0" fontId="1" fillId="0" borderId="8" xfId="0" applyFont="1" applyBorder="1" applyAlignment="1"/>
    <xf numFmtId="0" fontId="0" fillId="0" borderId="2" xfId="0" applyBorder="1" applyAlignment="1">
      <alignment horizontal="center"/>
    </xf>
    <xf numFmtId="1" fontId="0" fillId="0" borderId="7" xfId="0" applyNumberFormat="1" applyBorder="1" applyAlignment="1">
      <alignment horizontal="center"/>
    </xf>
    <xf numFmtId="0" fontId="0" fillId="0" borderId="21" xfId="0" applyBorder="1"/>
    <xf numFmtId="1" fontId="0" fillId="0" borderId="30" xfId="0" applyNumberFormat="1" applyFill="1" applyBorder="1" applyAlignment="1">
      <alignment horizontal="center"/>
    </xf>
    <xf numFmtId="0" fontId="0" fillId="0" borderId="8" xfId="0" applyFill="1" applyBorder="1" applyAlignment="1">
      <alignment horizontal="right"/>
    </xf>
    <xf numFmtId="1" fontId="0" fillId="0" borderId="0" xfId="0" applyNumberFormat="1" applyFill="1" applyBorder="1" applyAlignment="1">
      <alignment horizontal="center"/>
    </xf>
    <xf numFmtId="0" fontId="2" fillId="0" borderId="0" xfId="0" applyFont="1" applyBorder="1" applyAlignment="1"/>
    <xf numFmtId="9" fontId="0" fillId="0" borderId="0" xfId="0" applyNumberFormat="1" applyBorder="1"/>
    <xf numFmtId="0" fontId="2" fillId="0" borderId="0" xfId="0" applyFont="1" applyBorder="1"/>
    <xf numFmtId="0" fontId="0" fillId="0" borderId="12" xfId="0" applyBorder="1"/>
    <xf numFmtId="0" fontId="1" fillId="0" borderId="5" xfId="0" applyFont="1" applyBorder="1"/>
    <xf numFmtId="0" fontId="0" fillId="0" borderId="38" xfId="0" applyBorder="1" applyAlignment="1">
      <alignment horizontal="center"/>
    </xf>
    <xf numFmtId="0" fontId="0" fillId="0" borderId="36" xfId="0" applyFill="1" applyBorder="1"/>
    <xf numFmtId="0" fontId="0" fillId="0" borderId="5" xfId="0" applyBorder="1"/>
    <xf numFmtId="1" fontId="0" fillId="0" borderId="6" xfId="0" applyNumberFormat="1" applyBorder="1"/>
    <xf numFmtId="1" fontId="0" fillId="0" borderId="10" xfId="0" applyNumberFormat="1" applyBorder="1"/>
    <xf numFmtId="0" fontId="0" fillId="0" borderId="11" xfId="0" applyBorder="1"/>
    <xf numFmtId="0" fontId="3" fillId="0" borderId="0" xfId="0" applyFont="1" applyAlignment="1">
      <alignment horizontal="center"/>
    </xf>
    <xf numFmtId="0" fontId="3" fillId="0" borderId="0" xfId="0" applyFont="1"/>
    <xf numFmtId="0" fontId="1" fillId="0" borderId="0" xfId="0" applyFont="1"/>
    <xf numFmtId="0" fontId="2" fillId="0" borderId="0" xfId="0" applyFont="1" applyAlignment="1"/>
    <xf numFmtId="0" fontId="0" fillId="0" borderId="0" xfId="0" applyAlignment="1">
      <alignment horizontal="center"/>
    </xf>
    <xf numFmtId="0" fontId="5" fillId="0" borderId="0" xfId="0" applyFont="1"/>
    <xf numFmtId="0" fontId="5" fillId="0" borderId="0" xfId="0" applyFont="1" applyAlignment="1">
      <alignment horizontal="center"/>
    </xf>
    <xf numFmtId="0" fontId="4" fillId="0" borderId="0" xfId="0" applyFont="1"/>
    <xf numFmtId="0" fontId="4" fillId="0" borderId="0" xfId="0" applyFont="1" applyAlignment="1">
      <alignment horizontal="center"/>
    </xf>
    <xf numFmtId="0" fontId="0" fillId="0" borderId="0" xfId="0" applyFill="1" applyBorder="1" applyAlignment="1">
      <alignment horizontal="right"/>
    </xf>
    <xf numFmtId="0" fontId="1" fillId="0" borderId="0" xfId="0" applyFont="1" applyFill="1" applyBorder="1" applyAlignment="1">
      <alignment horizontal="center"/>
    </xf>
    <xf numFmtId="1" fontId="1" fillId="0" borderId="0" xfId="0" applyNumberFormat="1" applyFont="1"/>
    <xf numFmtId="1" fontId="2" fillId="0" borderId="0" xfId="0" applyNumberFormat="1" applyFont="1" applyAlignment="1">
      <alignment horizontal="center"/>
    </xf>
    <xf numFmtId="1" fontId="0" fillId="0" borderId="0" xfId="0" applyNumberFormat="1" applyAlignment="1">
      <alignment horizontal="center"/>
    </xf>
    <xf numFmtId="0" fontId="0" fillId="0" borderId="0" xfId="0" quotePrefix="1" applyAlignment="1">
      <alignment horizontal="center"/>
    </xf>
    <xf numFmtId="16" fontId="0" fillId="0" borderId="0" xfId="0" quotePrefix="1" applyNumberFormat="1" applyAlignment="1">
      <alignment horizontal="center"/>
    </xf>
    <xf numFmtId="0" fontId="1" fillId="0" borderId="2" xfId="0" applyFont="1" applyFill="1" applyBorder="1" applyAlignment="1">
      <alignment horizontal="center"/>
    </xf>
    <xf numFmtId="0" fontId="1" fillId="0" borderId="41" xfId="0" applyFont="1" applyFill="1" applyBorder="1" applyAlignment="1">
      <alignment horizontal="center"/>
    </xf>
    <xf numFmtId="0" fontId="1" fillId="0" borderId="42" xfId="0" applyFont="1" applyFill="1" applyBorder="1" applyAlignment="1">
      <alignment horizontal="center"/>
    </xf>
    <xf numFmtId="1" fontId="1" fillId="0" borderId="41" xfId="0" applyNumberFormat="1" applyFont="1" applyFill="1" applyBorder="1" applyAlignment="1">
      <alignment horizontal="center"/>
    </xf>
    <xf numFmtId="1" fontId="1" fillId="0" borderId="42" xfId="0" applyNumberFormat="1" applyFont="1" applyFill="1" applyBorder="1" applyAlignment="1">
      <alignment horizontal="center"/>
    </xf>
    <xf numFmtId="1" fontId="1" fillId="0" borderId="2" xfId="0" applyNumberFormat="1" applyFont="1" applyFill="1" applyBorder="1" applyAlignment="1">
      <alignment horizontal="center"/>
    </xf>
    <xf numFmtId="1" fontId="1" fillId="0" borderId="12" xfId="0" applyNumberFormat="1" applyFont="1" applyFill="1" applyBorder="1" applyAlignment="1">
      <alignment horizontal="center"/>
    </xf>
    <xf numFmtId="0" fontId="1" fillId="0" borderId="0" xfId="0" applyFont="1" applyFill="1" applyBorder="1"/>
    <xf numFmtId="1" fontId="2" fillId="0" borderId="30" xfId="0" applyNumberFormat="1" applyFont="1" applyFill="1" applyBorder="1" applyAlignment="1"/>
    <xf numFmtId="1" fontId="2" fillId="0" borderId="38" xfId="0" applyNumberFormat="1" applyFont="1" applyFill="1" applyBorder="1" applyAlignment="1"/>
    <xf numFmtId="1" fontId="2" fillId="0" borderId="20" xfId="0" applyNumberFormat="1" applyFont="1" applyFill="1" applyBorder="1" applyAlignment="1"/>
    <xf numFmtId="1" fontId="2" fillId="0" borderId="2" xfId="0" applyNumberFormat="1" applyFont="1" applyFill="1" applyBorder="1" applyAlignment="1"/>
    <xf numFmtId="0" fontId="1" fillId="0" borderId="20" xfId="0" applyFont="1" applyBorder="1" applyAlignment="1">
      <alignment horizontal="right"/>
    </xf>
    <xf numFmtId="2" fontId="0" fillId="0" borderId="9" xfId="0" applyNumberFormat="1" applyBorder="1" applyAlignment="1">
      <alignment horizontal="center"/>
    </xf>
    <xf numFmtId="0" fontId="0" fillId="0" borderId="30" xfId="0" applyFill="1" applyBorder="1" applyAlignment="1"/>
    <xf numFmtId="0" fontId="0" fillId="0" borderId="20" xfId="0" applyFill="1" applyBorder="1" applyAlignment="1"/>
    <xf numFmtId="1" fontId="0" fillId="0" borderId="0" xfId="0" applyNumberFormat="1" applyBorder="1"/>
    <xf numFmtId="1" fontId="1" fillId="0" borderId="2" xfId="0" applyNumberFormat="1" applyFont="1" applyBorder="1" applyAlignment="1">
      <alignment horizontal="center"/>
    </xf>
    <xf numFmtId="0" fontId="1" fillId="0" borderId="34" xfId="0" applyFont="1" applyBorder="1"/>
    <xf numFmtId="0" fontId="1" fillId="0" borderId="37" xfId="0" applyFont="1" applyBorder="1"/>
    <xf numFmtId="0" fontId="0" fillId="0" borderId="19" xfId="0" applyBorder="1" applyAlignment="1">
      <alignment horizontal="center"/>
    </xf>
    <xf numFmtId="0" fontId="1" fillId="0" borderId="27" xfId="0" applyFont="1" applyBorder="1" applyAlignment="1">
      <alignment horizontal="center"/>
    </xf>
    <xf numFmtId="0" fontId="0" fillId="0" borderId="27" xfId="0" applyBorder="1"/>
    <xf numFmtId="0" fontId="0" fillId="0" borderId="32" xfId="0" applyBorder="1"/>
    <xf numFmtId="0" fontId="0" fillId="0" borderId="38" xfId="0" applyBorder="1"/>
    <xf numFmtId="1" fontId="2" fillId="0" borderId="12" xfId="0" applyNumberFormat="1" applyFont="1" applyBorder="1" applyAlignment="1">
      <alignment horizontal="center"/>
    </xf>
    <xf numFmtId="0" fontId="2" fillId="0" borderId="9" xfId="0" applyFont="1" applyBorder="1" applyAlignment="1">
      <alignment horizontal="center"/>
    </xf>
    <xf numFmtId="1" fontId="2" fillId="0" borderId="42" xfId="0" applyNumberFormat="1" applyFont="1" applyBorder="1" applyAlignment="1">
      <alignment horizontal="center"/>
    </xf>
    <xf numFmtId="1" fontId="2" fillId="0" borderId="11" xfId="0" applyNumberFormat="1" applyFont="1" applyBorder="1" applyAlignment="1">
      <alignment horizontal="center"/>
    </xf>
    <xf numFmtId="0" fontId="0" fillId="0" borderId="12" xfId="0" applyBorder="1" applyAlignment="1">
      <alignment horizontal="center"/>
    </xf>
    <xf numFmtId="0" fontId="0" fillId="0" borderId="2" xfId="0" applyFill="1" applyBorder="1" applyAlignment="1">
      <alignment horizontal="center"/>
    </xf>
    <xf numFmtId="0" fontId="0" fillId="0" borderId="3" xfId="0" applyBorder="1" applyAlignment="1">
      <alignment horizontal="center"/>
    </xf>
    <xf numFmtId="0" fontId="0" fillId="0" borderId="0" xfId="0" quotePrefix="1"/>
    <xf numFmtId="0" fontId="0" fillId="0" borderId="10" xfId="0" applyBorder="1"/>
    <xf numFmtId="0" fontId="0" fillId="0" borderId="0" xfId="0" quotePrefix="1" applyBorder="1" applyAlignment="1">
      <alignment horizontal="center"/>
    </xf>
    <xf numFmtId="0" fontId="0" fillId="0" borderId="30" xfId="0" quotePrefix="1" applyBorder="1" applyAlignment="1">
      <alignment horizontal="center"/>
    </xf>
    <xf numFmtId="0" fontId="0" fillId="0" borderId="0" xfId="0" applyFill="1" applyAlignment="1">
      <alignment horizontal="center"/>
    </xf>
    <xf numFmtId="1" fontId="2" fillId="0" borderId="0" xfId="0" applyNumberFormat="1" applyFont="1" applyFill="1" applyAlignment="1">
      <alignment horizontal="center"/>
    </xf>
    <xf numFmtId="1" fontId="0" fillId="0" borderId="0" xfId="0" applyNumberFormat="1" applyFill="1" applyAlignment="1">
      <alignment horizontal="center"/>
    </xf>
    <xf numFmtId="0" fontId="2" fillId="0" borderId="0" xfId="0" applyFont="1" applyFill="1" applyAlignment="1">
      <alignment horizontal="center"/>
    </xf>
    <xf numFmtId="0" fontId="0" fillId="0" borderId="43" xfId="0" applyFill="1" applyBorder="1"/>
    <xf numFmtId="0" fontId="0" fillId="0" borderId="38" xfId="0" quotePrefix="1" applyBorder="1" applyAlignment="1">
      <alignment horizontal="center"/>
    </xf>
    <xf numFmtId="0" fontId="0" fillId="0" borderId="5" xfId="0" applyFill="1" applyBorder="1"/>
    <xf numFmtId="16" fontId="0" fillId="0" borderId="0" xfId="0" applyNumberFormat="1" applyAlignment="1">
      <alignment horizontal="center"/>
    </xf>
    <xf numFmtId="1" fontId="0" fillId="0" borderId="0" xfId="0" applyNumberFormat="1"/>
    <xf numFmtId="1" fontId="0" fillId="0" borderId="0" xfId="0" quotePrefix="1" applyNumberFormat="1" applyAlignment="1">
      <alignment horizontal="center"/>
    </xf>
    <xf numFmtId="1" fontId="1" fillId="0" borderId="0" xfId="0" applyNumberFormat="1" applyFont="1" applyFill="1" applyBorder="1" applyAlignment="1">
      <alignment horizontal="center"/>
    </xf>
    <xf numFmtId="1" fontId="0" fillId="0" borderId="3" xfId="0" applyNumberFormat="1" applyBorder="1" applyAlignment="1">
      <alignment horizontal="center"/>
    </xf>
    <xf numFmtId="1" fontId="0" fillId="0" borderId="2" xfId="0" applyNumberFormat="1" applyBorder="1"/>
    <xf numFmtId="1" fontId="1" fillId="0" borderId="2" xfId="0" applyNumberFormat="1" applyFont="1" applyBorder="1" applyAlignment="1">
      <alignment horizontal="right"/>
    </xf>
    <xf numFmtId="1" fontId="0" fillId="0" borderId="4" xfId="0" applyNumberFormat="1" applyBorder="1" applyAlignment="1">
      <alignment horizontal="center"/>
    </xf>
    <xf numFmtId="1" fontId="1" fillId="0" borderId="0" xfId="0" applyNumberFormat="1" applyFont="1" applyBorder="1" applyAlignment="1">
      <alignment horizontal="right"/>
    </xf>
    <xf numFmtId="1" fontId="0" fillId="0" borderId="9" xfId="0" applyNumberFormat="1" applyBorder="1" applyAlignment="1">
      <alignment horizontal="center"/>
    </xf>
    <xf numFmtId="1" fontId="0" fillId="0" borderId="9" xfId="0" applyNumberFormat="1" applyBorder="1"/>
    <xf numFmtId="1" fontId="1" fillId="0" borderId="1" xfId="0" applyNumberFormat="1" applyFont="1" applyBorder="1"/>
    <xf numFmtId="1" fontId="1" fillId="0" borderId="2" xfId="0" applyNumberFormat="1" applyFont="1" applyBorder="1"/>
    <xf numFmtId="1" fontId="0" fillId="0" borderId="20" xfId="0" applyNumberFormat="1" applyBorder="1"/>
    <xf numFmtId="1" fontId="0" fillId="0" borderId="21" xfId="0" applyNumberFormat="1" applyBorder="1" applyAlignment="1">
      <alignment horizontal="center"/>
    </xf>
    <xf numFmtId="1" fontId="1" fillId="0" borderId="0" xfId="0" applyNumberFormat="1" applyFont="1" applyBorder="1" applyAlignment="1">
      <alignment horizontal="center"/>
    </xf>
    <xf numFmtId="1" fontId="1" fillId="0" borderId="9" xfId="0" applyNumberFormat="1" applyFont="1" applyBorder="1" applyAlignment="1">
      <alignment horizontal="center"/>
    </xf>
    <xf numFmtId="1" fontId="2" fillId="0" borderId="0" xfId="0" applyNumberFormat="1" applyFont="1" applyBorder="1" applyAlignment="1"/>
    <xf numFmtId="1" fontId="2" fillId="0" borderId="30" xfId="0" applyNumberFormat="1" applyFont="1" applyBorder="1" applyAlignment="1"/>
    <xf numFmtId="1" fontId="0" fillId="0" borderId="31" xfId="0" applyNumberFormat="1" applyBorder="1" applyAlignment="1">
      <alignment horizontal="center"/>
    </xf>
    <xf numFmtId="1" fontId="0" fillId="0" borderId="0" xfId="0" applyNumberFormat="1" applyBorder="1" applyAlignment="1"/>
    <xf numFmtId="1" fontId="0" fillId="0" borderId="35" xfId="0" applyNumberFormat="1" applyFill="1" applyBorder="1" applyAlignment="1">
      <alignment horizontal="center"/>
    </xf>
    <xf numFmtId="9" fontId="0" fillId="0" borderId="28" xfId="0" applyNumberFormat="1" applyBorder="1" applyAlignment="1">
      <alignment horizontal="right"/>
    </xf>
    <xf numFmtId="0" fontId="0" fillId="0" borderId="0" xfId="0" applyAlignment="1"/>
    <xf numFmtId="1" fontId="2" fillId="0" borderId="12" xfId="0" applyNumberFormat="1" applyFont="1" applyFill="1" applyBorder="1" applyAlignment="1">
      <alignment horizontal="center"/>
    </xf>
    <xf numFmtId="1" fontId="1" fillId="0" borderId="0" xfId="0" applyNumberFormat="1" applyFont="1" applyAlignment="1">
      <alignment horizontal="center"/>
    </xf>
    <xf numFmtId="0" fontId="0" fillId="0" borderId="0" xfId="0" applyFill="1" applyBorder="1" applyAlignment="1"/>
    <xf numFmtId="0" fontId="2" fillId="0" borderId="5" xfId="0" applyFont="1" applyBorder="1" applyAlignment="1">
      <alignment horizontal="center"/>
    </xf>
    <xf numFmtId="0" fontId="2" fillId="0" borderId="6" xfId="0" applyFont="1" applyBorder="1"/>
    <xf numFmtId="0" fontId="2" fillId="0" borderId="5" xfId="0" applyFont="1" applyBorder="1"/>
    <xf numFmtId="0" fontId="2" fillId="0" borderId="38" xfId="0" applyFont="1" applyBorder="1"/>
    <xf numFmtId="0" fontId="2" fillId="0" borderId="48" xfId="0" applyFont="1" applyBorder="1"/>
    <xf numFmtId="0" fontId="2" fillId="0" borderId="35" xfId="0" applyFont="1" applyBorder="1"/>
    <xf numFmtId="0" fontId="2" fillId="0" borderId="49" xfId="0" applyFont="1" applyBorder="1"/>
    <xf numFmtId="0" fontId="2" fillId="0" borderId="43" xfId="0" applyFont="1" applyBorder="1" applyAlignment="1">
      <alignment horizontal="center"/>
    </xf>
    <xf numFmtId="0" fontId="2" fillId="0" borderId="28" xfId="0" applyFont="1" applyBorder="1" applyAlignment="1">
      <alignment horizontal="center"/>
    </xf>
    <xf numFmtId="0" fontId="2" fillId="0" borderId="43" xfId="0" applyFont="1" applyBorder="1"/>
    <xf numFmtId="0" fontId="2" fillId="0" borderId="28" xfId="0" applyFont="1" applyBorder="1"/>
    <xf numFmtId="0" fontId="2" fillId="0" borderId="10" xfId="0" applyFont="1" applyBorder="1" applyAlignment="1">
      <alignment horizontal="center"/>
    </xf>
    <xf numFmtId="0" fontId="2" fillId="0" borderId="11" xfId="0" applyFont="1" applyBorder="1" applyAlignment="1">
      <alignment horizontal="center"/>
    </xf>
    <xf numFmtId="0" fontId="2" fillId="0" borderId="30" xfId="0" applyFont="1" applyBorder="1"/>
    <xf numFmtId="0" fontId="2" fillId="0" borderId="11" xfId="0" applyFont="1" applyBorder="1"/>
    <xf numFmtId="0" fontId="2" fillId="0" borderId="10" xfId="0" applyFont="1" applyBorder="1"/>
    <xf numFmtId="0" fontId="2" fillId="0" borderId="38" xfId="0" applyFont="1" applyBorder="1" applyAlignment="1">
      <alignment horizontal="center"/>
    </xf>
    <xf numFmtId="0" fontId="2" fillId="0" borderId="6" xfId="0" applyFont="1" applyBorder="1" applyAlignment="1">
      <alignment horizontal="center"/>
    </xf>
    <xf numFmtId="0" fontId="2" fillId="0" borderId="0" xfId="0" applyFont="1" applyBorder="1" applyAlignment="1">
      <alignment horizontal="center"/>
    </xf>
    <xf numFmtId="0" fontId="2" fillId="0" borderId="30" xfId="0" applyFont="1" applyBorder="1" applyAlignment="1">
      <alignment horizontal="center"/>
    </xf>
    <xf numFmtId="0" fontId="2" fillId="0" borderId="0" xfId="0" quotePrefix="1" applyFont="1" applyAlignment="1">
      <alignment horizontal="center"/>
    </xf>
    <xf numFmtId="0" fontId="2" fillId="0" borderId="7" xfId="0" applyFont="1" applyBorder="1" applyAlignment="1">
      <alignment horizontal="center"/>
    </xf>
    <xf numFmtId="1" fontId="2" fillId="0" borderId="7" xfId="0" applyNumberFormat="1" applyFont="1" applyBorder="1" applyAlignment="1">
      <alignment horizontal="center"/>
    </xf>
    <xf numFmtId="0" fontId="2" fillId="0" borderId="0" xfId="0" applyFont="1" applyAlignment="1">
      <alignment horizontal="left"/>
    </xf>
    <xf numFmtId="1" fontId="2" fillId="0" borderId="5" xfId="0" applyNumberFormat="1" applyFont="1" applyFill="1" applyBorder="1" applyAlignment="1"/>
    <xf numFmtId="0" fontId="0" fillId="0" borderId="38" xfId="0" applyFill="1" applyBorder="1" applyAlignment="1"/>
    <xf numFmtId="0" fontId="0" fillId="0" borderId="39" xfId="0" applyFill="1" applyBorder="1" applyAlignment="1"/>
    <xf numFmtId="1" fontId="2" fillId="0" borderId="44" xfId="0" applyNumberFormat="1" applyFont="1" applyFill="1" applyBorder="1" applyAlignment="1"/>
    <xf numFmtId="0" fontId="0" fillId="0" borderId="21" xfId="0" applyFill="1" applyBorder="1" applyAlignment="1"/>
    <xf numFmtId="0" fontId="2" fillId="0" borderId="6" xfId="0" applyFont="1" applyFill="1" applyBorder="1" applyAlignment="1">
      <alignment horizontal="center"/>
    </xf>
    <xf numFmtId="0" fontId="2" fillId="0" borderId="11" xfId="0" applyFont="1" applyFill="1" applyBorder="1" applyAlignment="1">
      <alignment horizontal="center"/>
    </xf>
    <xf numFmtId="1" fontId="2" fillId="0" borderId="5" xfId="0" applyNumberFormat="1" applyFont="1" applyFill="1" applyBorder="1" applyAlignment="1">
      <alignment horizontal="center"/>
    </xf>
    <xf numFmtId="1" fontId="2" fillId="0" borderId="6" xfId="0" applyNumberFormat="1" applyFont="1" applyFill="1" applyBorder="1" applyAlignment="1">
      <alignment horizontal="center"/>
    </xf>
    <xf numFmtId="1" fontId="2" fillId="0" borderId="10" xfId="0" applyNumberFormat="1" applyFont="1" applyFill="1" applyBorder="1" applyAlignment="1"/>
    <xf numFmtId="0" fontId="2" fillId="0" borderId="37" xfId="0" applyFont="1" applyFill="1" applyBorder="1"/>
    <xf numFmtId="0" fontId="2" fillId="0" borderId="33" xfId="0" applyFont="1" applyFill="1" applyBorder="1" applyAlignment="1">
      <alignment horizontal="center"/>
    </xf>
    <xf numFmtId="1" fontId="0" fillId="0" borderId="2" xfId="0" applyNumberFormat="1" applyFill="1" applyBorder="1"/>
    <xf numFmtId="0" fontId="2" fillId="0" borderId="28" xfId="0" applyFont="1" applyFill="1" applyBorder="1" applyAlignment="1">
      <alignment horizontal="center"/>
    </xf>
    <xf numFmtId="0" fontId="0" fillId="0" borderId="1" xfId="0" applyFill="1" applyBorder="1"/>
    <xf numFmtId="1" fontId="0" fillId="0" borderId="2" xfId="0" applyNumberFormat="1" applyFill="1" applyBorder="1" applyAlignment="1">
      <alignment horizontal="center"/>
    </xf>
    <xf numFmtId="1" fontId="2" fillId="0" borderId="0" xfId="0" quotePrefix="1" applyNumberFormat="1" applyFont="1" applyFill="1" applyBorder="1" applyAlignment="1"/>
    <xf numFmtId="1" fontId="2" fillId="0" borderId="30" xfId="0" quotePrefix="1" applyNumberFormat="1" applyFont="1" applyFill="1" applyBorder="1" applyAlignment="1"/>
    <xf numFmtId="1" fontId="2" fillId="0" borderId="43" xfId="0" quotePrefix="1" applyNumberFormat="1" applyFont="1" applyFill="1" applyBorder="1" applyAlignment="1"/>
    <xf numFmtId="1" fontId="2" fillId="0" borderId="10" xfId="0" quotePrefix="1" applyNumberFormat="1" applyFont="1" applyFill="1" applyBorder="1" applyAlignment="1"/>
    <xf numFmtId="0" fontId="0" fillId="0" borderId="9" xfId="0" applyFill="1" applyBorder="1" applyAlignment="1"/>
    <xf numFmtId="0" fontId="0" fillId="0" borderId="31" xfId="0" applyFill="1" applyBorder="1" applyAlignment="1"/>
    <xf numFmtId="1" fontId="0" fillId="0" borderId="29" xfId="0" applyNumberFormat="1" applyBorder="1"/>
    <xf numFmtId="0" fontId="0" fillId="0" borderId="0" xfId="0" quotePrefix="1" applyAlignment="1"/>
    <xf numFmtId="0" fontId="1" fillId="0" borderId="0" xfId="0" applyFont="1" applyFill="1" applyAlignment="1">
      <alignment horizontal="center"/>
    </xf>
    <xf numFmtId="0" fontId="0" fillId="0" borderId="0" xfId="0" applyFill="1"/>
    <xf numFmtId="0" fontId="0" fillId="0" borderId="2" xfId="0" applyFill="1" applyBorder="1" applyAlignment="1"/>
    <xf numFmtId="0" fontId="0" fillId="0" borderId="15" xfId="0" applyBorder="1" applyAlignment="1">
      <alignment horizontal="center"/>
    </xf>
    <xf numFmtId="0" fontId="0" fillId="0" borderId="0" xfId="0" applyFill="1" applyAlignment="1"/>
    <xf numFmtId="1" fontId="2" fillId="0" borderId="6" xfId="0" quotePrefix="1" applyNumberFormat="1" applyFont="1" applyFill="1" applyBorder="1" applyAlignment="1">
      <alignment horizontal="center"/>
    </xf>
    <xf numFmtId="1" fontId="2" fillId="0" borderId="11" xfId="0" quotePrefix="1" applyNumberFormat="1" applyFont="1" applyFill="1" applyBorder="1" applyAlignment="1">
      <alignment horizontal="center"/>
    </xf>
    <xf numFmtId="1" fontId="2" fillId="0" borderId="5" xfId="0" quotePrefix="1" applyNumberFormat="1" applyFont="1" applyFill="1" applyBorder="1" applyAlignment="1">
      <alignment horizontal="center"/>
    </xf>
    <xf numFmtId="1" fontId="2" fillId="0" borderId="5" xfId="0" quotePrefix="1" applyNumberFormat="1" applyFont="1" applyFill="1" applyBorder="1" applyAlignment="1"/>
    <xf numFmtId="1" fontId="2" fillId="0" borderId="38" xfId="0" quotePrefix="1" applyNumberFormat="1" applyFont="1" applyFill="1" applyBorder="1" applyAlignment="1"/>
    <xf numFmtId="1" fontId="0" fillId="0" borderId="40" xfId="0" applyNumberFormat="1" applyFill="1" applyBorder="1" applyAlignment="1">
      <alignment horizontal="center"/>
    </xf>
    <xf numFmtId="1" fontId="0" fillId="0" borderId="7" xfId="0" applyNumberFormat="1" applyBorder="1"/>
    <xf numFmtId="0" fontId="0" fillId="0" borderId="28" xfId="0" applyBorder="1" applyAlignment="1">
      <alignment horizontal="center"/>
    </xf>
    <xf numFmtId="0" fontId="0" fillId="0" borderId="6" xfId="0" applyBorder="1" applyAlignment="1">
      <alignment horizontal="center"/>
    </xf>
    <xf numFmtId="1" fontId="0" fillId="0" borderId="38" xfId="0" applyNumberFormat="1" applyBorder="1" applyAlignment="1">
      <alignment horizontal="center"/>
    </xf>
    <xf numFmtId="0" fontId="0" fillId="0" borderId="38" xfId="0" applyFill="1" applyBorder="1" applyAlignment="1">
      <alignment horizontal="center"/>
    </xf>
    <xf numFmtId="0" fontId="0" fillId="0" borderId="37" xfId="0" applyFill="1" applyBorder="1"/>
    <xf numFmtId="0" fontId="0" fillId="0" borderId="39" xfId="0" applyBorder="1" applyAlignment="1">
      <alignment horizontal="center"/>
    </xf>
    <xf numFmtId="0" fontId="0" fillId="0" borderId="0" xfId="0" applyBorder="1" applyAlignment="1"/>
    <xf numFmtId="1" fontId="2" fillId="0" borderId="0" xfId="0" applyNumberFormat="1" applyFont="1"/>
    <xf numFmtId="1" fontId="0" fillId="0" borderId="0" xfId="0" applyNumberFormat="1" applyAlignment="1"/>
    <xf numFmtId="16" fontId="2" fillId="0" borderId="0" xfId="0" quotePrefix="1" applyNumberFormat="1" applyFont="1" applyAlignment="1">
      <alignment horizontal="center"/>
    </xf>
    <xf numFmtId="1" fontId="0" fillId="0" borderId="0" xfId="0" applyNumberFormat="1" applyAlignment="1">
      <alignment horizontal="center"/>
    </xf>
    <xf numFmtId="1" fontId="1" fillId="0" borderId="2" xfId="0" applyNumberFormat="1" applyFont="1" applyFill="1" applyBorder="1" applyAlignment="1">
      <alignment horizontal="center"/>
    </xf>
    <xf numFmtId="1" fontId="0" fillId="0" borderId="0" xfId="0" applyNumberFormat="1"/>
    <xf numFmtId="1" fontId="2" fillId="0" borderId="30" xfId="0" applyNumberFormat="1" applyFont="1" applyFill="1" applyBorder="1" applyAlignment="1">
      <alignment horizontal="center"/>
    </xf>
    <xf numFmtId="1" fontId="2" fillId="0" borderId="0" xfId="0" quotePrefix="1" applyNumberFormat="1" applyFont="1" applyFill="1" applyBorder="1" applyAlignment="1">
      <alignment horizontal="center"/>
    </xf>
    <xf numFmtId="1" fontId="2" fillId="0" borderId="30" xfId="0" quotePrefix="1" applyNumberFormat="1" applyFont="1" applyFill="1" applyBorder="1" applyAlignment="1">
      <alignment horizontal="center"/>
    </xf>
    <xf numFmtId="0" fontId="0" fillId="0" borderId="0" xfId="0" applyFill="1" applyAlignment="1">
      <alignment horizontal="right"/>
    </xf>
    <xf numFmtId="0" fontId="0" fillId="0" borderId="0" xfId="0" applyAlignment="1">
      <alignment horizontal="right"/>
    </xf>
    <xf numFmtId="1" fontId="0" fillId="0" borderId="7" xfId="0" applyNumberFormat="1" applyFill="1" applyBorder="1"/>
    <xf numFmtId="1" fontId="0" fillId="0" borderId="26" xfId="0" applyNumberFormat="1" applyFill="1" applyBorder="1"/>
    <xf numFmtId="0" fontId="1" fillId="0" borderId="12" xfId="0" applyFont="1" applyFill="1" applyBorder="1" applyAlignment="1">
      <alignment horizontal="center"/>
    </xf>
    <xf numFmtId="1" fontId="2" fillId="0" borderId="31" xfId="0" applyNumberFormat="1" applyFont="1" applyFill="1" applyBorder="1" applyAlignment="1">
      <alignment horizontal="center"/>
    </xf>
    <xf numFmtId="0" fontId="1" fillId="0" borderId="2" xfId="0" applyFont="1" applyFill="1" applyBorder="1"/>
    <xf numFmtId="0" fontId="5" fillId="0" borderId="0" xfId="0" applyFont="1" applyAlignment="1">
      <alignment horizontal="center" vertical="top" wrapText="1"/>
    </xf>
    <xf numFmtId="0" fontId="5" fillId="0" borderId="0" xfId="0" applyFont="1" applyAlignment="1">
      <alignment vertical="top" wrapText="1"/>
    </xf>
    <xf numFmtId="0" fontId="4" fillId="0" borderId="0" xfId="0" applyFont="1" applyAlignment="1">
      <alignment horizontal="center" vertical="top" wrapText="1"/>
    </xf>
    <xf numFmtId="0" fontId="4" fillId="0" borderId="0" xfId="0" applyFont="1" applyAlignment="1">
      <alignment vertical="top" wrapText="1"/>
    </xf>
    <xf numFmtId="0" fontId="4" fillId="0" borderId="0" xfId="0" applyFont="1" applyAlignment="1">
      <alignment horizontal="center" wrapText="1"/>
    </xf>
    <xf numFmtId="1" fontId="3" fillId="0" borderId="4" xfId="0" applyNumberFormat="1" applyFont="1" applyFill="1" applyBorder="1" applyAlignment="1">
      <alignment horizontal="center"/>
    </xf>
    <xf numFmtId="1" fontId="3" fillId="0" borderId="15" xfId="0" applyNumberFormat="1" applyFont="1" applyFill="1" applyBorder="1" applyAlignment="1">
      <alignment horizontal="center"/>
    </xf>
    <xf numFmtId="1" fontId="3" fillId="0" borderId="18" xfId="0" applyNumberFormat="1" applyFont="1" applyFill="1" applyBorder="1" applyAlignment="1">
      <alignment horizontal="center"/>
    </xf>
    <xf numFmtId="1" fontId="3" fillId="0" borderId="0" xfId="0" applyNumberFormat="1" applyFont="1" applyFill="1" applyBorder="1" applyAlignment="1">
      <alignment horizontal="center"/>
    </xf>
    <xf numFmtId="1" fontId="0" fillId="0" borderId="11" xfId="0" applyNumberFormat="1" applyBorder="1"/>
    <xf numFmtId="0" fontId="3" fillId="0" borderId="0" xfId="0" applyFont="1" applyFill="1" applyBorder="1"/>
    <xf numFmtId="0" fontId="9" fillId="0" borderId="0" xfId="0" applyFont="1" applyFill="1" applyBorder="1" applyAlignment="1">
      <alignment horizontal="center"/>
    </xf>
    <xf numFmtId="0" fontId="9" fillId="0" borderId="9" xfId="0" applyFont="1" applyFill="1" applyBorder="1" applyAlignment="1">
      <alignment horizontal="center"/>
    </xf>
    <xf numFmtId="0" fontId="1" fillId="0" borderId="0" xfId="0" applyFont="1" applyFill="1" applyBorder="1" applyAlignment="1">
      <alignment horizontal="right"/>
    </xf>
    <xf numFmtId="0" fontId="3" fillId="0" borderId="30" xfId="0" applyFont="1" applyFill="1" applyBorder="1"/>
    <xf numFmtId="0" fontId="3" fillId="0" borderId="30" xfId="0" applyFont="1" applyFill="1" applyBorder="1" applyAlignment="1">
      <alignment horizontal="center"/>
    </xf>
    <xf numFmtId="0" fontId="9" fillId="0" borderId="31" xfId="0" applyFont="1" applyFill="1" applyBorder="1" applyAlignment="1">
      <alignment horizontal="center"/>
    </xf>
    <xf numFmtId="0" fontId="3" fillId="0" borderId="35" xfId="0" applyFont="1" applyFill="1" applyBorder="1"/>
    <xf numFmtId="0" fontId="3" fillId="0" borderId="20" xfId="0" applyFont="1" applyFill="1" applyBorder="1"/>
    <xf numFmtId="0" fontId="3" fillId="0" borderId="20" xfId="0" applyFont="1" applyFill="1" applyBorder="1" applyAlignment="1">
      <alignment horizontal="center"/>
    </xf>
    <xf numFmtId="0" fontId="9" fillId="0" borderId="21" xfId="0" applyFont="1" applyFill="1" applyBorder="1" applyAlignment="1">
      <alignment horizontal="center"/>
    </xf>
    <xf numFmtId="1" fontId="0" fillId="0" borderId="0" xfId="0" applyNumberFormat="1"/>
    <xf numFmtId="0" fontId="3" fillId="0" borderId="8" xfId="0" applyFont="1" applyFill="1" applyBorder="1" applyAlignment="1"/>
    <xf numFmtId="0" fontId="3" fillId="0" borderId="9" xfId="0" applyNumberFormat="1" applyFont="1" applyFill="1" applyBorder="1" applyAlignment="1">
      <alignment horizontal="center"/>
    </xf>
    <xf numFmtId="0" fontId="3" fillId="0" borderId="8" xfId="0" applyFont="1" applyFill="1" applyBorder="1"/>
    <xf numFmtId="0" fontId="3" fillId="0" borderId="9" xfId="0" applyFont="1" applyFill="1" applyBorder="1" applyAlignment="1">
      <alignment horizontal="center"/>
    </xf>
    <xf numFmtId="0" fontId="3" fillId="0" borderId="19" xfId="0" applyFont="1" applyFill="1" applyBorder="1"/>
    <xf numFmtId="1" fontId="3" fillId="0" borderId="20" xfId="0" applyNumberFormat="1" applyFont="1" applyFill="1" applyBorder="1" applyAlignment="1">
      <alignment horizontal="center"/>
    </xf>
    <xf numFmtId="0" fontId="3" fillId="0" borderId="21" xfId="0" applyFont="1" applyFill="1" applyBorder="1" applyAlignment="1">
      <alignment horizontal="center"/>
    </xf>
    <xf numFmtId="0" fontId="3" fillId="0" borderId="45" xfId="0" applyFont="1" applyBorder="1" applyAlignment="1">
      <alignment horizontal="center"/>
    </xf>
    <xf numFmtId="0" fontId="3" fillId="0" borderId="46" xfId="0" applyFont="1" applyBorder="1" applyAlignment="1">
      <alignment horizontal="center"/>
    </xf>
    <xf numFmtId="1" fontId="3" fillId="0" borderId="47" xfId="0" applyNumberFormat="1" applyFont="1" applyFill="1" applyBorder="1" applyAlignment="1">
      <alignment horizontal="center"/>
    </xf>
    <xf numFmtId="0" fontId="2" fillId="0" borderId="2" xfId="0" applyFont="1" applyFill="1" applyBorder="1" applyAlignment="1">
      <alignment vertical="top"/>
    </xf>
    <xf numFmtId="1" fontId="2" fillId="0" borderId="30" xfId="0" applyNumberFormat="1" applyFont="1" applyFill="1" applyBorder="1" applyAlignment="1">
      <alignment horizontal="center"/>
    </xf>
    <xf numFmtId="1" fontId="2" fillId="0" borderId="38" xfId="0" applyNumberFormat="1" applyFont="1" applyFill="1" applyBorder="1" applyAlignment="1">
      <alignment horizontal="center"/>
    </xf>
    <xf numFmtId="0" fontId="0" fillId="0" borderId="6" xfId="0" applyBorder="1" applyAlignment="1">
      <alignment horizontal="center"/>
    </xf>
    <xf numFmtId="1" fontId="2" fillId="0" borderId="20" xfId="0" applyNumberFormat="1" applyFont="1" applyFill="1" applyBorder="1" applyAlignment="1">
      <alignment horizontal="center"/>
    </xf>
    <xf numFmtId="1" fontId="1" fillId="0" borderId="2" xfId="0" applyNumberFormat="1" applyFont="1" applyFill="1" applyBorder="1" applyAlignment="1">
      <alignment horizontal="center"/>
    </xf>
    <xf numFmtId="1" fontId="2" fillId="0" borderId="0" xfId="0" quotePrefix="1" applyNumberFormat="1" applyFont="1" applyFill="1" applyBorder="1" applyAlignment="1">
      <alignment horizontal="center"/>
    </xf>
    <xf numFmtId="0" fontId="0" fillId="0" borderId="28" xfId="0" applyBorder="1" applyAlignment="1">
      <alignment horizontal="center"/>
    </xf>
    <xf numFmtId="1" fontId="2" fillId="0" borderId="30" xfId="0" quotePrefix="1" applyNumberFormat="1" applyFont="1" applyFill="1" applyBorder="1" applyAlignment="1">
      <alignment horizontal="center"/>
    </xf>
    <xf numFmtId="1" fontId="2" fillId="0" borderId="28" xfId="0" quotePrefix="1" applyNumberFormat="1" applyFont="1" applyFill="1" applyBorder="1" applyAlignment="1">
      <alignment horizontal="center"/>
    </xf>
    <xf numFmtId="0" fontId="2" fillId="0" borderId="12" xfId="0" applyFont="1" applyFill="1" applyBorder="1" applyAlignment="1">
      <alignment vertical="top"/>
    </xf>
    <xf numFmtId="0" fontId="2" fillId="0" borderId="20" xfId="0" applyFont="1" applyFill="1" applyBorder="1" applyAlignment="1">
      <alignment vertical="top"/>
    </xf>
    <xf numFmtId="0" fontId="2" fillId="0" borderId="21" xfId="0" applyFont="1" applyFill="1" applyBorder="1" applyAlignment="1">
      <alignment vertical="top"/>
    </xf>
    <xf numFmtId="2" fontId="0" fillId="0" borderId="0" xfId="0" applyNumberFormat="1" applyFill="1"/>
    <xf numFmtId="1" fontId="1" fillId="0" borderId="0" xfId="0" applyNumberFormat="1" applyFont="1" applyFill="1" applyBorder="1" applyAlignment="1">
      <alignment horizontal="right"/>
    </xf>
    <xf numFmtId="0" fontId="9" fillId="0" borderId="22" xfId="0" applyFont="1" applyBorder="1"/>
    <xf numFmtId="0" fontId="3" fillId="0" borderId="23" xfId="0" applyFont="1" applyBorder="1"/>
    <xf numFmtId="1" fontId="9" fillId="0" borderId="24" xfId="0" applyNumberFormat="1" applyFont="1" applyBorder="1" applyAlignment="1">
      <alignment horizontal="center"/>
    </xf>
    <xf numFmtId="1" fontId="9" fillId="0" borderId="23" xfId="0" applyNumberFormat="1" applyFont="1" applyBorder="1"/>
    <xf numFmtId="1" fontId="3" fillId="0" borderId="23" xfId="0" applyNumberFormat="1" applyFont="1" applyBorder="1"/>
    <xf numFmtId="1" fontId="3" fillId="0" borderId="25" xfId="0" applyNumberFormat="1" applyFont="1" applyBorder="1"/>
    <xf numFmtId="1" fontId="2" fillId="0" borderId="0" xfId="0" applyNumberFormat="1" applyFont="1" applyBorder="1" applyAlignment="1">
      <alignment horizontal="center"/>
    </xf>
    <xf numFmtId="1" fontId="2" fillId="0" borderId="28" xfId="0" applyNumberFormat="1" applyFont="1" applyBorder="1" applyAlignment="1">
      <alignment horizontal="center"/>
    </xf>
    <xf numFmtId="1" fontId="9" fillId="0" borderId="23" xfId="0" applyNumberFormat="1" applyFont="1" applyBorder="1" applyAlignment="1">
      <alignment horizontal="center"/>
    </xf>
    <xf numFmtId="168" fontId="0" fillId="0" borderId="0" xfId="0" applyNumberFormat="1" applyFill="1"/>
    <xf numFmtId="0" fontId="1" fillId="0" borderId="0" xfId="0" applyFont="1" applyAlignment="1">
      <alignment vertical="top"/>
    </xf>
    <xf numFmtId="0" fontId="0" fillId="0" borderId="0" xfId="0" applyAlignment="1">
      <alignment vertical="top"/>
    </xf>
    <xf numFmtId="0" fontId="1" fillId="0" borderId="0" xfId="0" applyFont="1" applyAlignment="1">
      <alignment horizontal="center" vertical="top"/>
    </xf>
    <xf numFmtId="0" fontId="0" fillId="0" borderId="0" xfId="0" applyAlignment="1">
      <alignment horizontal="center" vertical="top"/>
    </xf>
    <xf numFmtId="1" fontId="1" fillId="0" borderId="0" xfId="0" applyNumberFormat="1" applyFont="1" applyFill="1" applyBorder="1" applyAlignment="1">
      <alignment horizontal="center" vertical="top"/>
    </xf>
    <xf numFmtId="0" fontId="2" fillId="0" borderId="0" xfId="0" applyFont="1" applyAlignment="1">
      <alignment vertical="top"/>
    </xf>
    <xf numFmtId="0" fontId="10" fillId="0" borderId="0" xfId="0" applyFont="1" applyAlignment="1">
      <alignment horizontal="center" vertical="top"/>
    </xf>
    <xf numFmtId="0" fontId="10" fillId="0" borderId="0" xfId="0" applyFont="1" applyAlignment="1">
      <alignment vertical="top"/>
    </xf>
    <xf numFmtId="0" fontId="11" fillId="0" borderId="0" xfId="0" applyFont="1" applyAlignment="1">
      <alignment vertical="top"/>
    </xf>
    <xf numFmtId="0" fontId="0" fillId="0" borderId="0" xfId="0" quotePrefix="1" applyAlignment="1">
      <alignment horizontal="center" vertical="top"/>
    </xf>
    <xf numFmtId="0" fontId="0" fillId="0" borderId="0" xfId="0" applyAlignment="1">
      <alignment horizontal="left" vertical="top"/>
    </xf>
    <xf numFmtId="0" fontId="12" fillId="0" borderId="0" xfId="0" applyFont="1"/>
    <xf numFmtId="1" fontId="8" fillId="0" borderId="26" xfId="0" applyNumberFormat="1" applyFont="1" applyFill="1" applyBorder="1" applyAlignment="1">
      <alignment horizontal="center" vertical="center"/>
    </xf>
    <xf numFmtId="1" fontId="8" fillId="0" borderId="50" xfId="0" applyNumberFormat="1" applyFont="1" applyFill="1" applyBorder="1" applyAlignment="1">
      <alignment horizontal="center" vertical="center"/>
    </xf>
    <xf numFmtId="0" fontId="3" fillId="0" borderId="8" xfId="0" applyFont="1" applyFill="1" applyBorder="1" applyAlignment="1">
      <alignment vertical="center"/>
    </xf>
    <xf numFmtId="0" fontId="3" fillId="0" borderId="0" xfId="0" applyFont="1" applyFill="1" applyBorder="1" applyAlignment="1">
      <alignment vertical="center"/>
    </xf>
    <xf numFmtId="0" fontId="3" fillId="0" borderId="9" xfId="0" applyNumberFormat="1" applyFont="1" applyFill="1" applyBorder="1" applyAlignment="1">
      <alignment horizontal="center" vertical="center"/>
    </xf>
  </cellXfs>
  <cellStyles count="1">
    <cellStyle name="Normal" xfId="0" builtinId="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theme" Target="theme/theme1.xml"/><Relationship Id="rId18" Type="http://schemas.openxmlformats.org/officeDocument/2006/relationships/styles" Target="styles.xml"/><Relationship Id="rId1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L66"/>
  <sheetViews>
    <sheetView tabSelected="1" workbookViewId="0"/>
  </sheetViews>
  <sheetFormatPr baseColWidth="10" defaultColWidth="11" defaultRowHeight="13"/>
  <cols>
    <col min="1" max="1" width="19" customWidth="1"/>
    <col min="7" max="7" width="1.83203125" customWidth="1"/>
    <col min="11" max="11" width="11" style="146"/>
    <col min="12" max="12" width="9.6640625" style="146" customWidth="1"/>
    <col min="13" max="13" width="10.83203125" style="146" customWidth="1"/>
    <col min="14" max="14" width="22.5" style="146" customWidth="1"/>
    <col min="15" max="15" width="2.83203125" customWidth="1"/>
    <col min="16" max="16" width="8.83203125" customWidth="1"/>
    <col min="17" max="17" width="2.83203125" customWidth="1"/>
    <col min="37" max="37" width="21.33203125" customWidth="1"/>
    <col min="38" max="38" width="11" style="146"/>
  </cols>
  <sheetData>
    <row r="1" spans="1:38">
      <c r="A1" s="19" t="s">
        <v>1212</v>
      </c>
      <c r="B1" t="s">
        <v>295</v>
      </c>
      <c r="C1" s="37"/>
      <c r="D1" s="49" t="s">
        <v>1026</v>
      </c>
      <c r="E1" s="211">
        <f ca="1">AL18</f>
        <v>1.895</v>
      </c>
      <c r="F1" s="37"/>
      <c r="G1" s="38" t="s">
        <v>1768</v>
      </c>
      <c r="H1" s="133" t="str">
        <f ca="1">IF(F19="","",IF(T2=0,S1,IF(T2&gt;0,(R1&amp;S2),IF(T2&lt;0,(S1&amp;S2)))))</f>
        <v>D10+3</v>
      </c>
      <c r="I1" s="37"/>
      <c r="J1" s="38" t="s">
        <v>1465</v>
      </c>
      <c r="K1" s="149">
        <f>IF(B1&gt;0,LOOKUP(B1,Critters!A2:A159,Critters!P2:P159),"")</f>
        <v>2</v>
      </c>
      <c r="L1" s="150"/>
      <c r="M1" s="151" t="s">
        <v>903</v>
      </c>
      <c r="N1" s="152">
        <f>16-K1</f>
        <v>14</v>
      </c>
      <c r="R1" s="82" t="s">
        <v>1353</v>
      </c>
      <c r="S1" s="83" t="s">
        <v>1207</v>
      </c>
      <c r="T1" s="6" t="s">
        <v>1768</v>
      </c>
      <c r="U1" s="5"/>
      <c r="V1" s="6" t="s">
        <v>1937</v>
      </c>
      <c r="W1" s="239">
        <f ca="1">(E9+E13/2)</f>
        <v>17</v>
      </c>
      <c r="X1" s="7">
        <v>1.5</v>
      </c>
      <c r="Y1" s="239">
        <f>LOOKUP(K1,AB1:AB12,AC1:AC12)*K1</f>
        <v>20</v>
      </c>
      <c r="Z1" s="146">
        <f ca="1">IF(W1*X1+Y1&lt;1,1,(W1*X1)+Y1)</f>
        <v>45.5</v>
      </c>
      <c r="AB1">
        <v>-12</v>
      </c>
      <c r="AC1">
        <v>4</v>
      </c>
      <c r="AI1" s="248"/>
      <c r="AK1" s="248" t="s">
        <v>2189</v>
      </c>
      <c r="AL1" s="231">
        <f>SUM(V24:V29)</f>
        <v>2</v>
      </c>
    </row>
    <row r="2" spans="1:38">
      <c r="A2" s="50" t="s">
        <v>2103</v>
      </c>
      <c r="B2" s="11" t="str">
        <f>IF(B1&gt;0,LOOKUP(B1,Critters!A2:A159,Critters!C2:C159),"")</f>
        <v>Herbivore</v>
      </c>
      <c r="C2" s="2"/>
      <c r="D2" s="15" t="s">
        <v>1620</v>
      </c>
      <c r="E2" s="171" t="str">
        <f>IF(B1&gt;0,LOOKUP(B1,Critters!A2:A159,Critters!D2:D159),"")</f>
        <v>Non-threatening</v>
      </c>
      <c r="F2" s="2"/>
      <c r="G2" s="51"/>
      <c r="H2" s="9"/>
      <c r="I2" s="2"/>
      <c r="J2" s="51"/>
      <c r="K2" s="47"/>
      <c r="L2" s="118"/>
      <c r="M2" s="153"/>
      <c r="N2" s="154"/>
      <c r="R2" s="84"/>
      <c r="S2" s="264">
        <f ca="1">T2</f>
        <v>3</v>
      </c>
      <c r="T2" s="244">
        <f ca="1">F19-F24-F25</f>
        <v>3</v>
      </c>
      <c r="V2" t="s">
        <v>2049</v>
      </c>
      <c r="W2" s="276">
        <f ca="1">(E9+E13/2)</f>
        <v>17</v>
      </c>
      <c r="X2" s="7">
        <v>1.5</v>
      </c>
      <c r="Y2" s="146">
        <f>K1</f>
        <v>2</v>
      </c>
      <c r="Z2" s="146">
        <f ca="1">W2*(X2+Y2)</f>
        <v>59.5</v>
      </c>
      <c r="AB2">
        <v>-11</v>
      </c>
      <c r="AC2">
        <v>4</v>
      </c>
      <c r="AI2" s="248"/>
      <c r="AK2" s="248" t="s">
        <v>532</v>
      </c>
      <c r="AL2" s="250">
        <f ca="1">T2</f>
        <v>3</v>
      </c>
    </row>
    <row r="3" spans="1:38">
      <c r="A3" s="50" t="s">
        <v>1861</v>
      </c>
      <c r="B3" s="12" t="str">
        <f>IF(B1&gt;0,LOOKUP(B1,Critters!A2:A159,Critters!B2:B159),"")</f>
        <v>1D6</v>
      </c>
      <c r="C3" s="2"/>
      <c r="D3" s="15" t="s">
        <v>1651</v>
      </c>
      <c r="E3" s="47">
        <f ca="1">RANDBETWEEN(1,20)</f>
        <v>14</v>
      </c>
      <c r="F3" s="2"/>
      <c r="G3" s="51"/>
      <c r="H3" s="238" t="s">
        <v>1111</v>
      </c>
      <c r="I3" s="2" t="s">
        <v>1108</v>
      </c>
      <c r="J3" s="2" t="s">
        <v>1875</v>
      </c>
      <c r="K3" s="2" t="s">
        <v>2288</v>
      </c>
      <c r="L3" s="2" t="s">
        <v>2296</v>
      </c>
      <c r="M3" s="2" t="s">
        <v>2297</v>
      </c>
      <c r="N3" s="154"/>
      <c r="R3" t="s">
        <v>1249</v>
      </c>
      <c r="T3" s="244"/>
      <c r="V3" t="s">
        <v>1936</v>
      </c>
      <c r="W3" s="276">
        <f ca="1">(E9+E13/2)</f>
        <v>17</v>
      </c>
      <c r="X3" s="7">
        <v>1.5</v>
      </c>
      <c r="Z3" s="146">
        <f ca="1">W3*X3</f>
        <v>25.5</v>
      </c>
      <c r="AB3">
        <v>-10</v>
      </c>
      <c r="AC3">
        <v>4</v>
      </c>
      <c r="AI3" s="248"/>
      <c r="AK3" s="248" t="s">
        <v>1457</v>
      </c>
      <c r="AL3" s="250">
        <f ca="1">11+T24</f>
        <v>18</v>
      </c>
    </row>
    <row r="4" spans="1:38" ht="14" thickBot="1">
      <c r="A4" s="22"/>
      <c r="B4" s="15"/>
      <c r="C4" s="2"/>
      <c r="D4" s="109"/>
      <c r="E4" s="2"/>
      <c r="F4" s="2"/>
      <c r="G4" s="2"/>
      <c r="H4" s="9">
        <f>LOOKUP($E$2,Critters!$A$163:$A$166,Critters!B163:B166)</f>
        <v>0</v>
      </c>
      <c r="I4" s="9">
        <f>LOOKUP($E$2,Critters!$A$163:$A$166,Critters!C163:C166)</f>
        <v>0</v>
      </c>
      <c r="J4" s="9">
        <f>LOOKUP($E$2,Critters!$A$163:$A$166,Critters!D163:D166)</f>
        <v>1</v>
      </c>
      <c r="K4" s="9" t="str">
        <f>LOOKUP($E$2,Critters!$A$163:$A$166,Critters!E163:E166)</f>
        <v>2-8</v>
      </c>
      <c r="L4" s="9" t="str">
        <f>LOOKUP($E$2,Critters!$A$163:$A$166,Critters!F163:F166)</f>
        <v>9-14</v>
      </c>
      <c r="M4" s="9" t="str">
        <f>LOOKUP($E$2,Critters!$A$163:$A$166,Critters!G163:G166)</f>
        <v>15-20</v>
      </c>
      <c r="N4" s="155"/>
      <c r="R4" t="s">
        <v>1584</v>
      </c>
      <c r="AB4">
        <v>-9</v>
      </c>
      <c r="AC4">
        <v>4</v>
      </c>
      <c r="AI4" s="248"/>
      <c r="AK4" s="248" t="s">
        <v>1297</v>
      </c>
      <c r="AL4" s="250">
        <f ca="1">IF(A32="",0,D32*6+F6)*AL1</f>
        <v>48</v>
      </c>
    </row>
    <row r="5" spans="1:38" ht="14" thickBot="1">
      <c r="A5" s="50" t="s">
        <v>1556</v>
      </c>
      <c r="B5" s="9" t="s">
        <v>1885</v>
      </c>
      <c r="C5" s="9" t="s">
        <v>2066</v>
      </c>
      <c r="D5" s="9" t="s">
        <v>2006</v>
      </c>
      <c r="E5" s="9" t="s">
        <v>2007</v>
      </c>
      <c r="F5" s="9" t="s">
        <v>1541</v>
      </c>
      <c r="G5" s="9"/>
      <c r="H5" s="19" t="s">
        <v>1965</v>
      </c>
      <c r="I5" s="69" t="s">
        <v>1710</v>
      </c>
      <c r="J5" s="27" t="s">
        <v>2349</v>
      </c>
      <c r="K5" s="156" t="s">
        <v>902</v>
      </c>
      <c r="L5" s="157"/>
      <c r="M5" s="254" t="s">
        <v>1117</v>
      </c>
      <c r="N5" s="252" t="s">
        <v>1118</v>
      </c>
      <c r="R5" t="s">
        <v>1248</v>
      </c>
      <c r="AB5">
        <v>-8</v>
      </c>
      <c r="AC5">
        <v>4</v>
      </c>
      <c r="AI5" s="249"/>
      <c r="AK5" s="248" t="s">
        <v>1602</v>
      </c>
      <c r="AL5" s="250">
        <f>IF(T31=0,0,11+T31)</f>
        <v>0</v>
      </c>
    </row>
    <row r="6" spans="1:38" ht="13" customHeight="1">
      <c r="A6" s="73" t="s">
        <v>2071</v>
      </c>
      <c r="B6" s="39">
        <f t="shared" ref="B6:B9" ca="1" si="0">RANDBETWEEN(1,6)+RANDBETWEEN(1,6)+RANDBETWEEN(1,6)</f>
        <v>8</v>
      </c>
      <c r="C6" s="40">
        <f>IF(B1&gt;0,LOOKUP(B1,Critters!A2:A159,Critters!E2:E159)+LOOKUP(B1,Critters!A2:A159,Critters!O2:O159),"")</f>
        <v>2</v>
      </c>
      <c r="D6" s="40"/>
      <c r="E6" s="40">
        <f t="shared" ref="E6:E9" ca="1" si="1">IF(B6&gt;0,SUM(B6:D6),"")</f>
        <v>10</v>
      </c>
      <c r="F6" s="260">
        <f ca="1">IF(B6&gt;0,LOOKUP(E6,'Stat Bonuses'!A2:A122,'Stat Bonuses'!B2:B122),"")</f>
        <v>0</v>
      </c>
      <c r="G6" s="14"/>
      <c r="H6" s="22" t="s">
        <v>2144</v>
      </c>
      <c r="I6" s="9" t="str">
        <f ca="1">IF($F$8="","",Y6&amp;V6&amp;W6)</f>
        <v>12  /  7</v>
      </c>
      <c r="J6" s="23" t="str">
        <f ca="1">IF(I6="","",S6&amp;R4)</f>
        <v>20 min</v>
      </c>
      <c r="K6" s="326" t="s">
        <v>2175</v>
      </c>
      <c r="L6" s="327"/>
      <c r="M6" s="324">
        <f ca="1">N1+F18+F8</f>
        <v>21</v>
      </c>
      <c r="N6" s="328" t="str">
        <f>"Use Skill +"&amp;N1</f>
        <v>Use Skill +14</v>
      </c>
      <c r="R6" s="300">
        <f ca="1">E9*2</f>
        <v>20</v>
      </c>
      <c r="S6" s="300">
        <f t="shared" ref="S6:S11" ca="1" si="2">ROUND(R6,2)</f>
        <v>20</v>
      </c>
      <c r="U6">
        <f ca="1">IF(F8="","",(8+E8+K1)/2)</f>
        <v>12.5</v>
      </c>
      <c r="V6" t="s">
        <v>1709</v>
      </c>
      <c r="W6" s="311">
        <f t="shared" ref="W6:W11" ca="1" si="3">INT(U6*0.6)</f>
        <v>7</v>
      </c>
      <c r="X6" t="s">
        <v>1708</v>
      </c>
      <c r="Y6" s="311">
        <f ca="1">INT(U6)</f>
        <v>12</v>
      </c>
      <c r="AB6">
        <v>-7</v>
      </c>
      <c r="AC6">
        <v>4</v>
      </c>
      <c r="AI6" s="249"/>
      <c r="AK6" s="248" t="s">
        <v>1453</v>
      </c>
      <c r="AL6" s="250">
        <f>IF(A40=" ",0,Y40*6+F6)</f>
        <v>0</v>
      </c>
    </row>
    <row r="7" spans="1:38" ht="13" customHeight="1">
      <c r="A7" s="73" t="s">
        <v>2350</v>
      </c>
      <c r="B7" s="54">
        <f t="shared" ca="1" si="0"/>
        <v>13</v>
      </c>
      <c r="C7" s="55">
        <f>IF(B1&gt;0,LOOKUP(B1,Critters!A2:A159,Critters!F2:F159),"")</f>
        <v>0</v>
      </c>
      <c r="D7" s="55"/>
      <c r="E7" s="55">
        <f t="shared" ca="1" si="1"/>
        <v>13</v>
      </c>
      <c r="F7" s="261">
        <f ca="1">IF(B7&gt;0,LOOKUP(E7,'Stat Bonuses'!A2:A122,'Stat Bonuses'!B2:B122),"")</f>
        <v>1</v>
      </c>
      <c r="G7" s="14"/>
      <c r="H7" s="22" t="s">
        <v>1966</v>
      </c>
      <c r="I7" s="9" t="str">
        <f t="shared" ref="I7:I10" ca="1" si="4">IF($F$8="","",Y7&amp;V7&amp;W7)</f>
        <v>25  /  15</v>
      </c>
      <c r="J7" s="23" t="str">
        <f ca="1">IF(I7="","",S7&amp;R5)</f>
        <v>10 hour</v>
      </c>
      <c r="K7" s="326"/>
      <c r="L7" s="327"/>
      <c r="M7" s="325"/>
      <c r="N7" s="328"/>
      <c r="R7" s="300">
        <f ca="1">E9</f>
        <v>10</v>
      </c>
      <c r="S7" s="300">
        <f t="shared" ca="1" si="2"/>
        <v>10</v>
      </c>
      <c r="U7">
        <f ca="1">IF(F8="","",8+E8+K1)</f>
        <v>25</v>
      </c>
      <c r="V7" t="s">
        <v>1709</v>
      </c>
      <c r="W7" s="311">
        <f t="shared" ca="1" si="3"/>
        <v>15</v>
      </c>
      <c r="X7" t="s">
        <v>1708</v>
      </c>
      <c r="Y7" s="311">
        <f t="shared" ref="Y7:Y11" ca="1" si="5">INT(U7)</f>
        <v>25</v>
      </c>
      <c r="AB7">
        <v>-6</v>
      </c>
      <c r="AC7">
        <v>5</v>
      </c>
      <c r="AI7" s="248"/>
      <c r="AK7" s="248" t="s">
        <v>1590</v>
      </c>
      <c r="AL7" s="250">
        <f ca="1">IF(K33="",0,T33)</f>
        <v>0</v>
      </c>
    </row>
    <row r="8" spans="1:38">
      <c r="A8" s="73" t="s">
        <v>2351</v>
      </c>
      <c r="B8" s="54">
        <f t="shared" ca="1" si="0"/>
        <v>15</v>
      </c>
      <c r="C8" s="55">
        <f>IF(B1&gt;0,LOOKUP(B1,Critters!A2:A159,Critters!G2:G159),"")</f>
        <v>0</v>
      </c>
      <c r="D8" s="55"/>
      <c r="E8" s="55">
        <f t="shared" ca="1" si="1"/>
        <v>15</v>
      </c>
      <c r="F8" s="261">
        <f ca="1">IF(B8&gt;0,LOOKUP(E8,'Stat Bonuses'!A2:A122,'Stat Bonuses'!B2:B122),"")</f>
        <v>2</v>
      </c>
      <c r="G8" s="14"/>
      <c r="H8" s="22" t="s">
        <v>1577</v>
      </c>
      <c r="I8" s="9" t="str">
        <f t="shared" ca="1" si="4"/>
        <v>37  /  22</v>
      </c>
      <c r="J8" s="115" t="str">
        <f ca="1">IF(I8="","",S8&amp;R5)</f>
        <v>6.67 hour</v>
      </c>
      <c r="K8" s="277" t="s">
        <v>2176</v>
      </c>
      <c r="L8" s="265"/>
      <c r="M8" s="263">
        <f ca="1">IF(K33="",16+F13+F14,11+F13+F14+K33)</f>
        <v>16</v>
      </c>
      <c r="N8" s="278" t="str">
        <f ca="1">$T$22&amp;M8</f>
        <v>D20+16</v>
      </c>
      <c r="R8" s="300">
        <f ca="1">E9/1.5</f>
        <v>6.666666666666667</v>
      </c>
      <c r="S8" s="300">
        <f t="shared" ca="1" si="2"/>
        <v>6.67</v>
      </c>
      <c r="U8">
        <f ca="1">IF(F8="","",(8+E8+K1)*1.5)</f>
        <v>37.5</v>
      </c>
      <c r="V8" t="s">
        <v>1709</v>
      </c>
      <c r="W8" s="311">
        <f t="shared" ca="1" si="3"/>
        <v>22</v>
      </c>
      <c r="X8" t="s">
        <v>1708</v>
      </c>
      <c r="Y8" s="311">
        <f ca="1">INT(U8)</f>
        <v>37</v>
      </c>
      <c r="AB8">
        <v>-5</v>
      </c>
      <c r="AC8">
        <v>6</v>
      </c>
      <c r="AI8" s="248"/>
      <c r="AK8" s="248" t="s">
        <v>1684</v>
      </c>
      <c r="AL8" s="250">
        <f ca="1">IF(AL7=0,0,100)</f>
        <v>0</v>
      </c>
    </row>
    <row r="9" spans="1:38" ht="14" thickBot="1">
      <c r="A9" s="73" t="s">
        <v>1954</v>
      </c>
      <c r="B9" s="41">
        <f t="shared" ca="1" si="0"/>
        <v>10</v>
      </c>
      <c r="C9" s="42">
        <f>IF(B1&gt;0,LOOKUP(B1,Critters!A2:A159,Critters!H2:H159),"")</f>
        <v>0</v>
      </c>
      <c r="D9" s="42"/>
      <c r="E9" s="42">
        <f t="shared" ca="1" si="1"/>
        <v>10</v>
      </c>
      <c r="F9" s="262">
        <f ca="1">IF(B9&gt;0,LOOKUP(E9,'Stat Bonuses'!A2:A122,'Stat Bonuses'!B2:B122),"")</f>
        <v>0</v>
      </c>
      <c r="G9" s="14"/>
      <c r="H9" s="22" t="s">
        <v>1967</v>
      </c>
      <c r="I9" s="9" t="str">
        <f t="shared" ca="1" si="4"/>
        <v>62  /  37</v>
      </c>
      <c r="J9" s="23" t="str">
        <f ca="1">IF(I9="","",S9&amp;R4)</f>
        <v>5 min</v>
      </c>
      <c r="K9" s="277" t="s">
        <v>2177</v>
      </c>
      <c r="L9" s="265"/>
      <c r="M9" s="263">
        <f ca="1">16+F13+F15+F15</f>
        <v>16</v>
      </c>
      <c r="N9" s="278" t="str">
        <f ca="1">$T$22&amp;M9</f>
        <v>D20+16</v>
      </c>
      <c r="R9" s="300">
        <f ca="1">E9/2</f>
        <v>5</v>
      </c>
      <c r="S9" s="300">
        <f t="shared" ca="1" si="2"/>
        <v>5</v>
      </c>
      <c r="U9">
        <f ca="1">IF(F8="","",(8+E8+K1)*2.5)</f>
        <v>62.5</v>
      </c>
      <c r="V9" t="s">
        <v>1709</v>
      </c>
      <c r="W9" s="311">
        <f t="shared" ca="1" si="3"/>
        <v>37</v>
      </c>
      <c r="X9" t="s">
        <v>1708</v>
      </c>
      <c r="Y9" s="311">
        <f t="shared" ca="1" si="5"/>
        <v>62</v>
      </c>
      <c r="AB9">
        <v>-4</v>
      </c>
      <c r="AC9">
        <v>7</v>
      </c>
      <c r="AI9" s="248"/>
      <c r="AK9" s="248" t="s">
        <v>1820</v>
      </c>
      <c r="AL9" s="250">
        <f ca="1">M6</f>
        <v>21</v>
      </c>
    </row>
    <row r="10" spans="1:38">
      <c r="A10" s="73"/>
      <c r="B10" s="16"/>
      <c r="C10" s="16"/>
      <c r="D10" s="16"/>
      <c r="E10" s="16"/>
      <c r="F10" s="263"/>
      <c r="G10" s="14"/>
      <c r="H10" s="22" t="s">
        <v>1377</v>
      </c>
      <c r="I10" s="9" t="str">
        <f t="shared" ca="1" si="4"/>
        <v>87  /  52</v>
      </c>
      <c r="J10" s="23" t="str">
        <f ca="1">IF(I10="","",S10&amp;R3)</f>
        <v>40 sec</v>
      </c>
      <c r="K10" s="279" t="s">
        <v>2178</v>
      </c>
      <c r="L10" s="265"/>
      <c r="M10" s="263" t="str">
        <f ca="1">T22&amp;(16+F13+F9)</f>
        <v>D20+18</v>
      </c>
      <c r="N10" s="280" t="s">
        <v>2179</v>
      </c>
      <c r="R10" s="300">
        <f ca="1">E9*4</f>
        <v>40</v>
      </c>
      <c r="S10" s="300">
        <f t="shared" ca="1" si="2"/>
        <v>40</v>
      </c>
      <c r="U10">
        <f ca="1">IF(F8="","",(8+E8+K1)*3.5)</f>
        <v>87.5</v>
      </c>
      <c r="V10" t="s">
        <v>1709</v>
      </c>
      <c r="W10" s="311">
        <f t="shared" ca="1" si="3"/>
        <v>52</v>
      </c>
      <c r="X10" t="s">
        <v>1708</v>
      </c>
      <c r="Y10" s="311">
        <f t="shared" ca="1" si="5"/>
        <v>87</v>
      </c>
      <c r="AB10">
        <v>-3</v>
      </c>
      <c r="AC10">
        <v>8</v>
      </c>
      <c r="AI10" s="248"/>
      <c r="AK10" s="248" t="s">
        <v>1116</v>
      </c>
      <c r="AL10" s="250">
        <f ca="1">M8</f>
        <v>16</v>
      </c>
    </row>
    <row r="11" spans="1:38" ht="14" thickBot="1">
      <c r="A11" s="53" t="s">
        <v>853</v>
      </c>
      <c r="B11" s="16"/>
      <c r="C11" s="16"/>
      <c r="D11" s="16"/>
      <c r="E11" s="16"/>
      <c r="F11" s="263"/>
      <c r="G11" s="14"/>
      <c r="H11" s="24" t="str">
        <f>IF(LOOKUP(B1,Critters!A2:A159,Critters!AY2:AY160)="Yes","Flying","")</f>
        <v/>
      </c>
      <c r="I11" s="25" t="str">
        <f>IF(H11="","",Y11&amp;V11&amp;W11)</f>
        <v/>
      </c>
      <c r="J11" s="26" t="str">
        <f>IF(I11="","",(S11&amp;R5))</f>
        <v/>
      </c>
      <c r="K11" s="281" t="s">
        <v>2180</v>
      </c>
      <c r="L11" s="273"/>
      <c r="M11" s="282" t="str">
        <f ca="1">T22&amp;(16+F13+F15)</f>
        <v>D20+17</v>
      </c>
      <c r="N11" s="283" t="s">
        <v>2179</v>
      </c>
      <c r="R11" s="300">
        <f ca="1">E9</f>
        <v>10</v>
      </c>
      <c r="S11" s="300">
        <f t="shared" ca="1" si="2"/>
        <v>10</v>
      </c>
      <c r="U11">
        <f>IF(LOOKUP(B1,Critters!A2:A159,Critters!AY2:AY160)="Yes",(Critters!AY9+CritterSheet!U7),0)</f>
        <v>0</v>
      </c>
      <c r="V11" t="s">
        <v>1709</v>
      </c>
      <c r="W11" s="311">
        <f t="shared" si="3"/>
        <v>0</v>
      </c>
      <c r="X11" t="s">
        <v>1708</v>
      </c>
      <c r="Y11" s="311">
        <f t="shared" si="5"/>
        <v>0</v>
      </c>
      <c r="AB11">
        <v>-2</v>
      </c>
      <c r="AC11">
        <v>9</v>
      </c>
      <c r="AI11" s="248"/>
      <c r="AK11" s="248" t="s">
        <v>2021</v>
      </c>
      <c r="AL11" s="250">
        <f ca="1">M9</f>
        <v>16</v>
      </c>
    </row>
    <row r="12" spans="1:38" ht="14" thickBot="1">
      <c r="A12" s="73" t="s">
        <v>1955</v>
      </c>
      <c r="B12" s="39">
        <f ca="1">RANDBETWEEN(1,4)+RANDBETWEEN(1,4)</f>
        <v>4</v>
      </c>
      <c r="C12" s="40">
        <f>IF(B1&gt;0,LOOKUP(B1,Critters!A2:A159,Critters!I2:I159),"")</f>
        <v>0</v>
      </c>
      <c r="D12" s="40"/>
      <c r="E12" s="40">
        <f t="shared" ref="E12:E15" ca="1" si="6">IF(B12&gt;0,SUM(B12:D12),"")</f>
        <v>4</v>
      </c>
      <c r="F12" s="260">
        <f ca="1">IF(B12&gt;0,LOOKUP(E12,'Stat Bonuses'!A2:A122,'Stat Bonuses'!B2:B122),"")</f>
        <v>-3</v>
      </c>
      <c r="G12" s="14"/>
      <c r="H12" s="2"/>
      <c r="I12" s="2"/>
      <c r="J12" s="2"/>
      <c r="K12" s="118"/>
      <c r="L12" s="118"/>
      <c r="M12" s="118"/>
      <c r="N12" s="155"/>
      <c r="AB12">
        <v>-1</v>
      </c>
      <c r="AC12">
        <v>10</v>
      </c>
      <c r="AI12" s="248"/>
      <c r="AK12" s="248" t="s">
        <v>533</v>
      </c>
      <c r="AL12" s="250">
        <f ca="1">F13+F9</f>
        <v>2</v>
      </c>
    </row>
    <row r="13" spans="1:38">
      <c r="A13" s="73" t="s">
        <v>1956</v>
      </c>
      <c r="B13" s="54">
        <f ca="1">RANDBETWEEN(1,6)+RANDBETWEEN(1,6)+RANDBETWEEN(1,6)</f>
        <v>14</v>
      </c>
      <c r="C13" s="55">
        <f>IF(B1&gt;0,LOOKUP(B1,Critters!A2:A159,Critters!J2:J159),"")</f>
        <v>0</v>
      </c>
      <c r="D13" s="55"/>
      <c r="E13" s="55">
        <f t="shared" ca="1" si="6"/>
        <v>14</v>
      </c>
      <c r="F13" s="261">
        <f ca="1">IF(B13&gt;0,LOOKUP(E13,'Stat Bonuses'!A2:A122,'Stat Bonuses'!B2:B122),"")</f>
        <v>2</v>
      </c>
      <c r="G13" s="14"/>
      <c r="H13" s="302" t="s">
        <v>1562</v>
      </c>
      <c r="I13" s="303"/>
      <c r="J13" s="304"/>
      <c r="K13" s="305" t="s">
        <v>834</v>
      </c>
      <c r="L13" s="306"/>
      <c r="M13" s="310">
        <f ca="1">IF(B9=0,"",IF(K1&lt;0,Z1,IF(K1&gt;0,Z2,Z3)))</f>
        <v>59.5</v>
      </c>
      <c r="N13" s="307"/>
      <c r="R13">
        <f>IF(K1&gt;1,K1)</f>
        <v>2</v>
      </c>
      <c r="AI13" s="248"/>
      <c r="AK13" s="248" t="s">
        <v>534</v>
      </c>
      <c r="AL13" s="250">
        <f ca="1">F13+F15</f>
        <v>1</v>
      </c>
    </row>
    <row r="14" spans="1:38">
      <c r="A14" s="73" t="s">
        <v>1402</v>
      </c>
      <c r="B14" s="54">
        <f ca="1">RANDBETWEEN(1,6)+RANDBETWEEN(1,6)+RANDBETWEEN(1,6)</f>
        <v>6</v>
      </c>
      <c r="C14" s="55">
        <f>IF(B1&gt;0,LOOKUP(B1,Critters!A2:A159,Critters!K2:K159),"")</f>
        <v>0</v>
      </c>
      <c r="D14" s="55"/>
      <c r="E14" s="55">
        <f t="shared" ca="1" si="6"/>
        <v>6</v>
      </c>
      <c r="F14" s="261">
        <f ca="1">IF(B14&gt;0,LOOKUP(E14,'Stat Bonuses'!A2:A122,'Stat Bonuses'!B2:B122),"")</f>
        <v>-2</v>
      </c>
      <c r="G14" s="14"/>
      <c r="H14" s="68" t="s">
        <v>1211</v>
      </c>
      <c r="I14" s="77"/>
      <c r="J14" s="123" t="s">
        <v>840</v>
      </c>
      <c r="K14" s="308"/>
      <c r="L14" s="160" t="s">
        <v>1158</v>
      </c>
      <c r="M14" s="309"/>
      <c r="N14" s="161" t="s">
        <v>1690</v>
      </c>
      <c r="AI14" s="248"/>
      <c r="AK14" s="248" t="s">
        <v>1838</v>
      </c>
      <c r="AL14" s="250">
        <f>(C24+D24+E24)/3</f>
        <v>3</v>
      </c>
    </row>
    <row r="15" spans="1:38" ht="14" thickBot="1">
      <c r="A15" s="73" t="s">
        <v>1278</v>
      </c>
      <c r="B15" s="54">
        <f ca="1">RANDBETWEEN(1,6)+RANDBETWEEN(1,6)+RANDBETWEEN(1,6)</f>
        <v>9</v>
      </c>
      <c r="C15" s="55">
        <f>IF(B1&gt;0,LOOKUP(B1,Critters!A2:A159,Critters!L2:L159),"")</f>
        <v>0</v>
      </c>
      <c r="D15" s="55"/>
      <c r="E15" s="55">
        <f t="shared" ca="1" si="6"/>
        <v>9</v>
      </c>
      <c r="F15" s="261">
        <f ca="1">IF(B15&gt;0,LOOKUP(E15,'Stat Bonuses'!A2:A122,'Stat Bonuses'!B2:B122),"")</f>
        <v>-1</v>
      </c>
      <c r="G15" s="14"/>
      <c r="H15" s="68"/>
      <c r="I15" s="2"/>
      <c r="J15" s="123" t="s">
        <v>2262</v>
      </c>
      <c r="K15" s="162" t="s">
        <v>1691</v>
      </c>
      <c r="L15" s="47"/>
      <c r="M15" s="167" t="s">
        <v>952</v>
      </c>
      <c r="N15" s="154">
        <v>0</v>
      </c>
      <c r="AI15" s="248"/>
      <c r="AK15" s="248" t="s">
        <v>1837</v>
      </c>
      <c r="AL15" s="251">
        <f ca="1">M13</f>
        <v>59.5</v>
      </c>
    </row>
    <row r="16" spans="1:38" ht="14" thickBot="1">
      <c r="A16" s="73"/>
      <c r="B16" s="16"/>
      <c r="C16" s="16"/>
      <c r="D16" s="16"/>
      <c r="E16" s="16"/>
      <c r="F16" s="263"/>
      <c r="G16" s="14"/>
      <c r="H16" s="35"/>
      <c r="I16" s="2"/>
      <c r="J16" s="124"/>
      <c r="K16" s="163" t="s">
        <v>1692</v>
      </c>
      <c r="L16" s="46">
        <f ca="1">M13*M16</f>
        <v>29.75</v>
      </c>
      <c r="M16" s="18">
        <v>0.5</v>
      </c>
      <c r="N16" s="164">
        <v>-1</v>
      </c>
      <c r="AI16" s="248"/>
      <c r="AK16" s="248" t="s">
        <v>1229</v>
      </c>
      <c r="AL16" s="218">
        <f ca="1">SUM(AL1:AL15)</f>
        <v>189.5</v>
      </c>
    </row>
    <row r="17" spans="1:38" ht="14" thickBot="1">
      <c r="A17" s="53" t="s">
        <v>854</v>
      </c>
      <c r="B17" s="16"/>
      <c r="C17" s="16"/>
      <c r="D17" s="16"/>
      <c r="E17" s="16"/>
      <c r="F17" s="263"/>
      <c r="G17" s="14"/>
      <c r="H17" s="35"/>
      <c r="I17" s="2"/>
      <c r="J17" s="124"/>
      <c r="K17" s="162" t="s">
        <v>1569</v>
      </c>
      <c r="L17" s="47">
        <f ca="1">M13*M17</f>
        <v>44.625</v>
      </c>
      <c r="M17" s="17">
        <v>0.75</v>
      </c>
      <c r="N17" s="154">
        <v>-2</v>
      </c>
      <c r="AI17" s="248"/>
      <c r="AK17" s="248" t="s">
        <v>614</v>
      </c>
      <c r="AL17" s="218">
        <f ca="1">AL16/50</f>
        <v>3.79</v>
      </c>
    </row>
    <row r="18" spans="1:38" ht="14" thickBot="1">
      <c r="A18" s="73" t="s">
        <v>2268</v>
      </c>
      <c r="B18" s="39">
        <f ca="1">IF(B12&gt;0,(B12+B14)/2,"")</f>
        <v>5</v>
      </c>
      <c r="C18" s="40">
        <f>IF(B1&gt;0,LOOKUP(B1,Critters!A2:A159,Critters!M2:M159),"")</f>
        <v>15</v>
      </c>
      <c r="D18" s="40">
        <f>LOOKUP(B1,Critters!$A$2:$A$159,Critters!$N$2:$N$159)</f>
        <v>0</v>
      </c>
      <c r="E18" s="40">
        <f ca="1">IF(B12&gt;0,(E12+E14)/2+C18,"")</f>
        <v>20</v>
      </c>
      <c r="F18" s="260">
        <f ca="1">IF(B18&gt;0,LOOKUP(E18,'Stat Bonuses'!A2:A122,'Stat Bonuses'!B2:B122),"")</f>
        <v>5</v>
      </c>
      <c r="G18" s="14"/>
      <c r="H18" s="35"/>
      <c r="I18" s="2"/>
      <c r="J18" s="124"/>
      <c r="K18" s="163" t="s">
        <v>1570</v>
      </c>
      <c r="L18" s="46">
        <f ca="1">M13*M18</f>
        <v>50.574999999999996</v>
      </c>
      <c r="M18" s="18">
        <v>0.85</v>
      </c>
      <c r="N18" s="164">
        <v>-3</v>
      </c>
      <c r="AI18" s="248"/>
      <c r="AK18" s="248" t="s">
        <v>896</v>
      </c>
      <c r="AL18" s="218">
        <f ca="1">IF(E2="Ferocious",AL17*2,IF(E2="Aggressive",AL17*1.5,IF(E2="""Dangerous",AL17,AL17*0.5)))</f>
        <v>1.895</v>
      </c>
    </row>
    <row r="19" spans="1:38" ht="14" thickBot="1">
      <c r="A19" s="73" t="s">
        <v>615</v>
      </c>
      <c r="B19" s="41">
        <f ca="1">IF(B18="","",(B18+B8)/2)</f>
        <v>10</v>
      </c>
      <c r="C19" s="42">
        <f>IF(B1&gt;0,LOOKUP(B1,Critters!A2:A159,Critters!N2:N159),"")</f>
        <v>0</v>
      </c>
      <c r="D19" s="42" t="s">
        <v>1159</v>
      </c>
      <c r="E19" s="42">
        <f ca="1">IF(E18="","",(E18+E8)/2)</f>
        <v>17.5</v>
      </c>
      <c r="F19" s="262">
        <f ca="1">IF(B19&gt;0,LOOKUP(E19,'Stat Bonuses'!A2:A122,'Stat Bonuses'!B2:B122),"")</f>
        <v>3</v>
      </c>
      <c r="G19" s="14"/>
      <c r="H19" s="35"/>
      <c r="I19" s="2"/>
      <c r="J19" s="124"/>
      <c r="K19" s="162" t="s">
        <v>1693</v>
      </c>
      <c r="L19" s="47">
        <f ca="1">M13*M19</f>
        <v>53.550000000000004</v>
      </c>
      <c r="M19" s="17">
        <v>0.9</v>
      </c>
      <c r="N19" s="154">
        <v>-4</v>
      </c>
      <c r="AI19" s="248"/>
    </row>
    <row r="20" spans="1:38">
      <c r="A20" s="73"/>
      <c r="B20" s="16"/>
      <c r="C20" s="16"/>
      <c r="D20" s="16"/>
      <c r="E20" s="16"/>
      <c r="F20" s="263"/>
      <c r="G20" s="16"/>
      <c r="H20" s="35"/>
      <c r="I20" s="2"/>
      <c r="J20" s="124"/>
      <c r="K20" s="163" t="s">
        <v>1568</v>
      </c>
      <c r="L20" s="46">
        <f ca="1">M13*M20</f>
        <v>56.524999999999999</v>
      </c>
      <c r="M20" s="18">
        <v>0.95</v>
      </c>
      <c r="N20" s="164">
        <v>-5</v>
      </c>
      <c r="R20" t="s">
        <v>1492</v>
      </c>
      <c r="S20" s="89" t="s">
        <v>2092</v>
      </c>
    </row>
    <row r="21" spans="1:38">
      <c r="A21" s="73"/>
      <c r="B21" s="16"/>
      <c r="C21" s="16"/>
      <c r="D21" s="16"/>
      <c r="E21" s="16"/>
      <c r="F21" s="263"/>
      <c r="G21" s="16"/>
      <c r="H21" s="22"/>
      <c r="I21" s="2"/>
      <c r="J21" s="124"/>
      <c r="K21" s="165" t="s">
        <v>1210</v>
      </c>
      <c r="L21" s="47">
        <f ca="1">M13*M21</f>
        <v>59.5</v>
      </c>
      <c r="M21" s="17">
        <v>1</v>
      </c>
      <c r="N21" s="154" t="s">
        <v>1159</v>
      </c>
      <c r="R21" t="s">
        <v>1493</v>
      </c>
      <c r="S21" t="s">
        <v>1121</v>
      </c>
    </row>
    <row r="22" spans="1:38" ht="14" thickBot="1">
      <c r="A22" s="22"/>
      <c r="B22" s="2"/>
      <c r="C22" s="2"/>
      <c r="D22" s="2"/>
      <c r="E22" s="2"/>
      <c r="F22" s="2"/>
      <c r="G22" s="2"/>
      <c r="H22" s="24"/>
      <c r="I22" s="28"/>
      <c r="J22" s="125"/>
      <c r="K22" s="158" t="s">
        <v>1561</v>
      </c>
      <c r="L22" s="48">
        <f ca="1">M13*M22</f>
        <v>71.399999999999991</v>
      </c>
      <c r="M22" s="36">
        <v>1.2</v>
      </c>
      <c r="N22" s="159" t="s">
        <v>1159</v>
      </c>
      <c r="R22" t="s">
        <v>1000</v>
      </c>
      <c r="S22" t="s">
        <v>1674</v>
      </c>
      <c r="T22" s="221" t="s">
        <v>845</v>
      </c>
    </row>
    <row r="23" spans="1:38">
      <c r="A23" s="19" t="s">
        <v>1125</v>
      </c>
      <c r="B23" s="20"/>
      <c r="C23" s="20" t="s">
        <v>1264</v>
      </c>
      <c r="D23" s="20" t="s">
        <v>1688</v>
      </c>
      <c r="E23" s="20" t="s">
        <v>1689</v>
      </c>
      <c r="F23" s="21" t="s">
        <v>1230</v>
      </c>
      <c r="G23" s="8"/>
      <c r="H23" s="19" t="s">
        <v>852</v>
      </c>
      <c r="I23" s="265"/>
      <c r="J23" s="266"/>
      <c r="K23" s="119" t="s">
        <v>1403</v>
      </c>
      <c r="L23" s="119" t="s">
        <v>1253</v>
      </c>
      <c r="M23" s="119" t="s">
        <v>1279</v>
      </c>
      <c r="N23" s="267" t="s">
        <v>1229</v>
      </c>
      <c r="O23" s="221"/>
      <c r="P23" s="96"/>
      <c r="Q23" s="221"/>
      <c r="R23" s="96" t="s">
        <v>2418</v>
      </c>
      <c r="S23" s="96" t="s">
        <v>2173</v>
      </c>
      <c r="T23" s="88" t="s">
        <v>2174</v>
      </c>
      <c r="U23" s="268" t="s">
        <v>2156</v>
      </c>
      <c r="V23" s="95" t="s">
        <v>2020</v>
      </c>
      <c r="W23" s="95"/>
      <c r="X23" s="95"/>
      <c r="Y23" s="95"/>
      <c r="Z23" s="95"/>
      <c r="AA23" s="95"/>
      <c r="AB23" s="95"/>
      <c r="AC23" s="95"/>
      <c r="AD23" s="95"/>
      <c r="AE23" s="95"/>
    </row>
    <row r="24" spans="1:38">
      <c r="A24" s="29" t="str">
        <f>IF(B1="","",LOOKUP(B1,Critters!A2:A159,Critters!Q2:Q159))</f>
        <v>Fur/Feathers</v>
      </c>
      <c r="B24" s="9" t="s">
        <v>1126</v>
      </c>
      <c r="C24" s="47">
        <f>IF(A24="","",LOOKUP(A24,Armor!$A$2:$A$13,Armor!$B$2:$B$13))</f>
        <v>3</v>
      </c>
      <c r="D24" s="47">
        <f>IF(A24="","",LOOKUP(A24,Armor!$A$2:$A$13,Armor!$C$2:$C$13))</f>
        <v>3</v>
      </c>
      <c r="E24" s="47">
        <f>IF(A24="","",LOOKUP(A24,Armor!$A$2:$A$13,Armor!$D$2:$D$13))</f>
        <v>3</v>
      </c>
      <c r="F24" s="23">
        <f>IF(A24="","",LOOKUP(A24,Armor!$A$2:$A$13,Armor!$E$2:$E$13))</f>
        <v>0</v>
      </c>
      <c r="G24" s="9"/>
      <c r="H24" s="43" t="str">
        <f>A32</f>
        <v>Bash</v>
      </c>
      <c r="I24" s="269"/>
      <c r="J24" s="269"/>
      <c r="K24" s="72">
        <f>IF(H24=" ","",LOOKUP($B$1,Critters!$A$2:$A$152,Critters!$AD$2:$AD$152))</f>
        <v>5</v>
      </c>
      <c r="L24" s="46" t="str">
        <f>IF(H24&lt;&gt;" ",LOOKUP(H24,Skills!A2:A94,Skills!B2:B94),"")</f>
        <v>Agility</v>
      </c>
      <c r="M24" s="270">
        <f t="shared" ref="M24:M29" ca="1" si="7">IF(H24&lt;&gt;" ",LOOKUP(L24,$R$24:$R$33,$S$24:$S$33),"")</f>
        <v>2</v>
      </c>
      <c r="N24" s="271" t="str">
        <f ca="1">IF(H24&lt;&gt;" ",$T$22&amp;T24,"")</f>
        <v>D20+7</v>
      </c>
      <c r="O24" s="221"/>
      <c r="P24" s="221"/>
      <c r="Q24" s="221"/>
      <c r="R24" s="12" t="s">
        <v>2351</v>
      </c>
      <c r="S24" s="140">
        <f ca="1">F8</f>
        <v>2</v>
      </c>
      <c r="T24" s="276">
        <f ca="1">IF(H24&lt;&gt;" ",ROUND(U24,0),0)</f>
        <v>7</v>
      </c>
      <c r="U24" s="276">
        <f ca="1">IF(H24&lt;&gt;" ",K24+M24,"")</f>
        <v>7</v>
      </c>
      <c r="V24">
        <f>IF(H24&lt;&gt;" ",1,0)</f>
        <v>1</v>
      </c>
    </row>
    <row r="25" spans="1:38">
      <c r="A25" s="29" t="str">
        <f>IF(B1="","",LOOKUP(B1,Critters!A2:A159,Critters!R2:R159))</f>
        <v>Fur/Feathers</v>
      </c>
      <c r="B25" s="9" t="s">
        <v>1127</v>
      </c>
      <c r="C25" s="47">
        <f>IF(A25="","",LOOKUP(A25,Armor!$A$2:$A$13,Armor!$B$2:$B$13))</f>
        <v>3</v>
      </c>
      <c r="D25" s="47">
        <f>IF(A25="","",LOOKUP(A25,Armor!$A$2:$A$13,Armor!$C$2:$C$13))</f>
        <v>3</v>
      </c>
      <c r="E25" s="47">
        <f>IF(A25="","",LOOKUP(A25,Armor!$A$2:$A$13,Armor!$D$2:$D$13))</f>
        <v>3</v>
      </c>
      <c r="F25" s="23">
        <f>IF(A25="","",LOOKUP(A25,Armor!$A$2:$A$13,Armor!$E$2:$E$13))</f>
        <v>0</v>
      </c>
      <c r="G25" s="9"/>
      <c r="H25" s="43" t="str">
        <f t="shared" ref="H25:H29" si="8">A33</f>
        <v>Trample</v>
      </c>
      <c r="I25" s="269"/>
      <c r="J25" s="269"/>
      <c r="K25" s="72">
        <f>IF(H25=" ","",LOOKUP($B$1,Critters!$A$2:$A$152,Critters!$AD$2:$AD$152))</f>
        <v>5</v>
      </c>
      <c r="L25" s="46" t="str">
        <f>IF(H25&lt;&gt;" ",LOOKUP(H25,Skills!A3:A95,Skills!B3:B95),"")</f>
        <v>Willpower</v>
      </c>
      <c r="M25" s="270">
        <f t="shared" ca="1" si="7"/>
        <v>2</v>
      </c>
      <c r="N25" s="271" t="str">
        <f ca="1">IF(H25&lt;&gt;" ",$T$22&amp;T25,"")</f>
        <v>D20+7</v>
      </c>
      <c r="O25" s="221"/>
      <c r="P25" s="221"/>
      <c r="Q25" s="221"/>
      <c r="R25" s="12" t="s">
        <v>2268</v>
      </c>
      <c r="S25" s="140">
        <f ca="1">F18</f>
        <v>5</v>
      </c>
      <c r="T25" s="276">
        <f ca="1">IF(H25&lt;&gt;" ",ROUND(U25,0),0)</f>
        <v>7</v>
      </c>
      <c r="U25" s="276">
        <f t="shared" ref="U25:U37" ca="1" si="9">IF(H25&lt;&gt;" ",K25+M25,"")</f>
        <v>7</v>
      </c>
      <c r="V25">
        <f t="shared" ref="V25:V29" si="10">IF(H25&lt;&gt;" ",1,0)</f>
        <v>1</v>
      </c>
    </row>
    <row r="26" spans="1:38">
      <c r="A26" s="29" t="str">
        <f>IF(B1="","",LOOKUP(B1,Critters!A2:A159,Critters!S2:S159))</f>
        <v>Fur/Feathers</v>
      </c>
      <c r="B26" s="9" t="s">
        <v>1128</v>
      </c>
      <c r="C26" s="47">
        <f>IF(A26="","",LOOKUP(A26,Armor!$A$2:$A$13,Armor!$B$2:$B$13))</f>
        <v>3</v>
      </c>
      <c r="D26" s="47">
        <f>IF(A26="","",LOOKUP(A26,Armor!$A$2:$A$13,Armor!$C$2:$C$13))</f>
        <v>3</v>
      </c>
      <c r="E26" s="47">
        <f>IF(A26="","",LOOKUP(A26,Armor!$A$2:$A$13,Armor!$D$2:$D$13))</f>
        <v>3</v>
      </c>
      <c r="F26" s="23">
        <f>IF(A26="","",LOOKUP(A26,Armor!$A$2:$A$13,Armor!$E$2:$E$13))</f>
        <v>0</v>
      </c>
      <c r="G26" s="2"/>
      <c r="H26" s="43" t="str">
        <f t="shared" si="8"/>
        <v xml:space="preserve"> </v>
      </c>
      <c r="I26" s="269"/>
      <c r="J26" s="269"/>
      <c r="K26" s="72" t="str">
        <f>IF(H26=" ","",LOOKUP($B$1,Critters!$A$2:$A$152,Critters!$AD$2:$AD$152))</f>
        <v/>
      </c>
      <c r="L26" s="46" t="str">
        <f>IF(H26&lt;&gt;" ",LOOKUP(H26,Skills!A4:A96,Skills!B4:B96),"")</f>
        <v/>
      </c>
      <c r="M26" s="270" t="str">
        <f t="shared" si="7"/>
        <v/>
      </c>
      <c r="N26" s="271" t="str">
        <f t="shared" ref="N26:N37" si="11">IF(H26&lt;&gt;" ",$T$22&amp;T26,"")</f>
        <v/>
      </c>
      <c r="O26" s="221"/>
      <c r="P26" s="221"/>
      <c r="Q26" s="221"/>
      <c r="R26" s="12" t="s">
        <v>2350</v>
      </c>
      <c r="S26" s="140">
        <f ca="1">F7</f>
        <v>1</v>
      </c>
      <c r="T26" s="276">
        <f t="shared" ref="T26:T37" si="12">IF(H26&lt;&gt;" ",ROUND(U26,0),0)</f>
        <v>0</v>
      </c>
      <c r="U26" s="276" t="str">
        <f t="shared" si="9"/>
        <v/>
      </c>
      <c r="V26">
        <f t="shared" si="10"/>
        <v>0</v>
      </c>
    </row>
    <row r="27" spans="1:38">
      <c r="A27" s="29" t="str">
        <f>IF(B1="","",LOOKUP(B1,Critters!A2:A159,Critters!T2:T159))</f>
        <v>Fur/Feathers</v>
      </c>
      <c r="B27" s="9" t="s">
        <v>1129</v>
      </c>
      <c r="C27" s="47">
        <f>IF(A27="","",LOOKUP(A27,Armor!$A$2:$A$13,Armor!$B$2:$B$13))</f>
        <v>3</v>
      </c>
      <c r="D27" s="47">
        <f>IF(A27="","",LOOKUP(A27,Armor!$A$2:$A$13,Armor!$C$2:$C$13))</f>
        <v>3</v>
      </c>
      <c r="E27" s="47">
        <f>IF(A27="","",LOOKUP(A27,Armor!$A$2:$A$13,Armor!$D$2:$D$13))</f>
        <v>3</v>
      </c>
      <c r="F27" s="23">
        <f>IF(A27="","",LOOKUP(A27,Armor!$A$2:$A$13,Armor!$E$2:$E$13))</f>
        <v>0</v>
      </c>
      <c r="G27" s="15"/>
      <c r="H27" s="43" t="str">
        <f t="shared" si="8"/>
        <v xml:space="preserve"> </v>
      </c>
      <c r="I27" s="272"/>
      <c r="J27" s="272"/>
      <c r="K27" s="72" t="str">
        <f>IF(H27=" ","",LOOKUP($B$1,Critters!$A$2:$A$152,Critters!$AD$2:$AD$152))</f>
        <v/>
      </c>
      <c r="L27" s="46" t="str">
        <f>IF(H27&lt;&gt;" ",LOOKUP(H27,Skills!A5:A97,Skills!B5:B97),"")</f>
        <v/>
      </c>
      <c r="M27" s="270" t="str">
        <f t="shared" si="7"/>
        <v/>
      </c>
      <c r="N27" s="271" t="str">
        <f t="shared" si="11"/>
        <v/>
      </c>
      <c r="O27" s="221"/>
      <c r="P27" s="221"/>
      <c r="Q27" s="221"/>
      <c r="R27" s="12" t="s">
        <v>615</v>
      </c>
      <c r="S27" s="140">
        <f ca="1">F19</f>
        <v>3</v>
      </c>
      <c r="T27" s="276">
        <f t="shared" si="12"/>
        <v>0</v>
      </c>
      <c r="U27" s="276" t="str">
        <f t="shared" si="9"/>
        <v/>
      </c>
      <c r="V27">
        <f t="shared" si="10"/>
        <v>0</v>
      </c>
    </row>
    <row r="28" spans="1:38">
      <c r="A28" s="29" t="str">
        <f>IF(B1=0,"",IF(B28="","",LOOKUP(B1,Critters!A2:A159,Critters!U2:U159)))</f>
        <v/>
      </c>
      <c r="B28" s="9" t="str">
        <f>IF(LOOKUP(B1,Critters!A2:A159,Critters!BB2:BB160)="Yes","Wings","")</f>
        <v/>
      </c>
      <c r="C28" s="47" t="str">
        <f>IF(A28="","",LOOKUP(A28,Armor!$A$2:$A$13,Armor!$B$2:$B$13))</f>
        <v/>
      </c>
      <c r="D28" s="47" t="str">
        <f>IF(A28="","",LOOKUP(A28,Armor!$A$2:$A$13,Armor!$C$2:$C$13))</f>
        <v/>
      </c>
      <c r="E28" s="47" t="str">
        <f>IF(A28="","",LOOKUP(A28,Armor!$A$2:$A$13,Armor!$D$2:$D$13))</f>
        <v/>
      </c>
      <c r="F28" s="23" t="str">
        <f>IF(A28="","",LOOKUP(A28,Armor!$A$2:$A$13,Armor!$E$2:$E$13))</f>
        <v/>
      </c>
      <c r="G28" s="9"/>
      <c r="H28" s="43" t="str">
        <f t="shared" si="8"/>
        <v xml:space="preserve"> </v>
      </c>
      <c r="I28" s="269"/>
      <c r="J28" s="269"/>
      <c r="K28" s="72" t="str">
        <f>IF(H28=" ","",LOOKUP($B$1,Critters!$A$2:$A$152,Critters!$AD$2:$AD$152))</f>
        <v/>
      </c>
      <c r="L28" s="46" t="str">
        <f>IF(H28&lt;&gt;" ",LOOKUP(H28,Skills!A6:A98,Skills!B6:B98),"")</f>
        <v/>
      </c>
      <c r="M28" s="270" t="str">
        <f t="shared" si="7"/>
        <v/>
      </c>
      <c r="N28" s="271" t="str">
        <f t="shared" si="11"/>
        <v/>
      </c>
      <c r="O28" s="221"/>
      <c r="P28" s="221"/>
      <c r="Q28" s="221"/>
      <c r="R28" s="12" t="s">
        <v>1955</v>
      </c>
      <c r="S28" s="140">
        <f ca="1">F12</f>
        <v>-3</v>
      </c>
      <c r="T28" s="276">
        <f t="shared" si="12"/>
        <v>0</v>
      </c>
      <c r="U28" s="276" t="str">
        <f t="shared" si="9"/>
        <v/>
      </c>
      <c r="V28">
        <f t="shared" si="10"/>
        <v>0</v>
      </c>
    </row>
    <row r="29" spans="1:38" ht="14" thickBot="1">
      <c r="A29" s="24"/>
      <c r="B29" s="28"/>
      <c r="C29" s="28"/>
      <c r="D29" s="28"/>
      <c r="E29" s="28"/>
      <c r="F29" s="71"/>
      <c r="G29" s="9"/>
      <c r="H29" s="43" t="str">
        <f t="shared" si="8"/>
        <v xml:space="preserve"> </v>
      </c>
      <c r="I29" s="272"/>
      <c r="J29" s="272"/>
      <c r="K29" s="72" t="str">
        <f>IF(H29=" ","",LOOKUP($B$1,Critters!$A$2:$A$152,Critters!$AD$2:$AD$152))</f>
        <v/>
      </c>
      <c r="L29" s="46" t="str">
        <f>IF(H29&lt;&gt;" ",LOOKUP(H29,Skills!A8:A99,Skills!B8:B99),"")</f>
        <v/>
      </c>
      <c r="M29" s="270" t="str">
        <f t="shared" si="7"/>
        <v/>
      </c>
      <c r="N29" s="271" t="str">
        <f t="shared" si="11"/>
        <v/>
      </c>
      <c r="O29" s="221"/>
      <c r="P29" s="221"/>
      <c r="Q29" s="221"/>
      <c r="R29" s="12" t="s">
        <v>1402</v>
      </c>
      <c r="S29" s="140">
        <f ca="1">F14</f>
        <v>-2</v>
      </c>
      <c r="T29" s="276">
        <f t="shared" si="12"/>
        <v>0</v>
      </c>
      <c r="U29" s="276" t="str">
        <f t="shared" si="9"/>
        <v/>
      </c>
      <c r="V29">
        <f t="shared" si="10"/>
        <v>0</v>
      </c>
    </row>
    <row r="30" spans="1:38" ht="14" thickBot="1">
      <c r="A30" s="22"/>
      <c r="B30" s="2"/>
      <c r="C30" s="118"/>
      <c r="D30" s="118"/>
      <c r="E30" s="118"/>
      <c r="F30" s="2"/>
      <c r="G30" s="2"/>
      <c r="H30" s="43" t="s">
        <v>1576</v>
      </c>
      <c r="I30" s="269"/>
      <c r="J30" s="269"/>
      <c r="K30" s="72">
        <f>IF(H30&lt;&gt;"",LOOKUP($B$1,Critters!$A$2:$A$152,Critters!$AE$2:$AE$152),"")</f>
        <v>5</v>
      </c>
      <c r="L30" s="46" t="str">
        <f>IF(H30&lt;&gt;"",LOOKUP(H30,Skills!A2:A93,Skills!B2:B93),"")</f>
        <v>Agility</v>
      </c>
      <c r="M30" s="270">
        <f ca="1">IF(H30&gt;0,LOOKUP(L30,$R$24:$R$33,$S$24:$S$33),"")</f>
        <v>2</v>
      </c>
      <c r="N30" s="271" t="str">
        <f t="shared" ca="1" si="11"/>
        <v>D20+7</v>
      </c>
      <c r="O30" s="221"/>
      <c r="P30" s="221"/>
      <c r="Q30" s="221"/>
      <c r="R30" s="12" t="s">
        <v>1278</v>
      </c>
      <c r="S30" s="140">
        <f ca="1">F15</f>
        <v>-1</v>
      </c>
      <c r="T30" s="276">
        <f t="shared" ca="1" si="12"/>
        <v>7</v>
      </c>
      <c r="U30" s="276">
        <f t="shared" ca="1" si="9"/>
        <v>7</v>
      </c>
    </row>
    <row r="31" spans="1:38">
      <c r="A31" s="19" t="s">
        <v>1004</v>
      </c>
      <c r="B31" s="20"/>
      <c r="C31" s="119" t="s">
        <v>1208</v>
      </c>
      <c r="D31" s="119" t="s">
        <v>1280</v>
      </c>
      <c r="E31" s="119" t="s">
        <v>1279</v>
      </c>
      <c r="F31" s="21" t="s">
        <v>2262</v>
      </c>
      <c r="G31" s="15"/>
      <c r="H31" s="81" t="str">
        <f>A40</f>
        <v xml:space="preserve"> </v>
      </c>
      <c r="I31" s="272"/>
      <c r="J31" s="272"/>
      <c r="K31" s="72" t="str">
        <f>IF(H31&lt;&gt;" ",LOOKUP($B$1,Critters!$A$2:$A$152,Critters!$AD$2:$AD$152),"")</f>
        <v/>
      </c>
      <c r="L31" s="46" t="str">
        <f>IF(H31&lt;&gt;" ",LOOKUP(H31,Skills!A2:A93,Skills!B2:B93),"")</f>
        <v/>
      </c>
      <c r="M31" s="270" t="str">
        <f t="shared" ref="M31:M37" si="13">IF(H31&lt;&gt;" ",LOOKUP(L31,$R$24:$R$33,$S$24:$S$33),"")</f>
        <v/>
      </c>
      <c r="N31" s="271" t="str">
        <f t="shared" si="11"/>
        <v/>
      </c>
      <c r="O31" s="221"/>
      <c r="P31" s="221"/>
      <c r="Q31" s="221"/>
      <c r="R31" s="12" t="s">
        <v>2071</v>
      </c>
      <c r="S31" s="140">
        <f ca="1">F6</f>
        <v>0</v>
      </c>
      <c r="T31" s="276">
        <f t="shared" si="12"/>
        <v>0</v>
      </c>
      <c r="U31" s="276" t="str">
        <f t="shared" si="9"/>
        <v/>
      </c>
    </row>
    <row r="32" spans="1:38">
      <c r="A32" s="29" t="str">
        <f>IF(B1&gt;0,LOOKUP(B1,Critters!A2:A159,Critters!X2:X159)," ")</f>
        <v>Bash</v>
      </c>
      <c r="B32" s="9"/>
      <c r="C32" s="47">
        <f>IF(A32&lt;&gt;" ",LOOKUP(A32,Melee!$A$2:$A$26,Melee!$C$2:$C$26),"")</f>
        <v>4</v>
      </c>
      <c r="D32" s="47">
        <f>IF(A32&lt;&gt;" ",LOOKUP(A32,Melee!$A$2:$A$26,Melee!$B$2:$B$26),"")</f>
        <v>4</v>
      </c>
      <c r="E32" s="47">
        <f t="shared" ref="E32:E37" ca="1" si="14">IF(A32&lt;&gt;" ",$F$6,"")</f>
        <v>0</v>
      </c>
      <c r="F32" s="23" t="str">
        <f t="shared" ref="F32:F37" ca="1" si="15">IF(A32=" ","",IF(D32&lt;1,V54,X54))</f>
        <v>4D6</v>
      </c>
      <c r="G32" s="9"/>
      <c r="H32" s="81" t="str">
        <f>A41</f>
        <v xml:space="preserve"> </v>
      </c>
      <c r="I32" s="269"/>
      <c r="J32" s="269"/>
      <c r="K32" s="72" t="str">
        <f>IF(H32&lt;&gt;" ",LOOKUP($B$1,Critters!$A$2:$A$152,Critters!$AD$2:$AD$152),"")</f>
        <v/>
      </c>
      <c r="L32" s="46" t="str">
        <f>IF(H32&lt;&gt;" ",LOOKUP(H32,Skills!A2:A93,Skills!B2:B93),"")</f>
        <v/>
      </c>
      <c r="M32" s="270" t="str">
        <f t="shared" si="13"/>
        <v/>
      </c>
      <c r="N32" s="271" t="str">
        <f t="shared" si="11"/>
        <v/>
      </c>
      <c r="O32" s="221"/>
      <c r="P32" s="221"/>
      <c r="Q32" s="221"/>
      <c r="R32" s="12" t="s">
        <v>1954</v>
      </c>
      <c r="S32" s="140">
        <f ca="1">F9</f>
        <v>0</v>
      </c>
      <c r="T32" s="276">
        <f t="shared" si="12"/>
        <v>0</v>
      </c>
      <c r="U32" s="276" t="str">
        <f t="shared" si="9"/>
        <v/>
      </c>
    </row>
    <row r="33" spans="1:33">
      <c r="A33" s="43" t="str">
        <f>IF(B1&gt;0,LOOKUP(B1,Critters!A2:A159,Critters!Y2:Y159)," ")</f>
        <v>Trample</v>
      </c>
      <c r="B33" s="13"/>
      <c r="C33" s="46">
        <f>IF(A33&lt;&gt;" ",LOOKUP(A33,Melee!$A$2:$A$26,Melee!$C$2:$C$26),"")</f>
        <v>2</v>
      </c>
      <c r="D33" s="46">
        <f>IF(A33&lt;&gt;" ",LOOKUP(A33,Melee!$A$2:$A$26,Melee!$B$2:$B$26),"")</f>
        <v>3</v>
      </c>
      <c r="E33" s="46">
        <f t="shared" ca="1" si="14"/>
        <v>0</v>
      </c>
      <c r="F33" s="45" t="str">
        <f t="shared" ca="1" si="15"/>
        <v>3D6</v>
      </c>
      <c r="G33" s="12"/>
      <c r="H33" s="81" t="str">
        <f>IF(B1&lt;&gt;"",LOOKUP(B1,Critters!A2:A159,Critters!AN2:AN159),"")</f>
        <v xml:space="preserve"> </v>
      </c>
      <c r="I33" s="272"/>
      <c r="J33" s="272"/>
      <c r="K33" s="166" t="str">
        <f ca="1">IF(H33=" ","",IF(H33&lt;&gt;"",RANDBETWEEN(1,3)+RANDBETWEEN(1,3),""))</f>
        <v/>
      </c>
      <c r="L33" s="46" t="str">
        <f>IF(H33&lt;&gt;" ",LOOKUP(H33,Skills!A2:A93,Skills!B2:B93),"")</f>
        <v/>
      </c>
      <c r="M33" s="270" t="str">
        <f t="shared" si="13"/>
        <v/>
      </c>
      <c r="N33" s="271" t="str">
        <f t="shared" si="11"/>
        <v/>
      </c>
      <c r="O33" s="221"/>
      <c r="P33" s="221"/>
      <c r="Q33" s="221"/>
      <c r="R33" s="12" t="s">
        <v>709</v>
      </c>
      <c r="S33" s="140">
        <f ca="1">F13</f>
        <v>2</v>
      </c>
      <c r="T33" s="276">
        <f t="shared" si="12"/>
        <v>0</v>
      </c>
      <c r="U33" s="276" t="str">
        <f t="shared" si="9"/>
        <v/>
      </c>
    </row>
    <row r="34" spans="1:33">
      <c r="A34" s="236" t="str">
        <f>IF(B1&gt;0,LOOKUP(B1,Critters!A2:A159,Critters!Z2:Z159)," ")</f>
        <v xml:space="preserve"> </v>
      </c>
      <c r="B34" s="80"/>
      <c r="C34" s="234" t="str">
        <f>IF(A34&lt;&gt;" ",LOOKUP(A34,Melee!$A$2:$A$26,Melee!$C$2:$C$26),"")</f>
        <v/>
      </c>
      <c r="D34" s="234" t="str">
        <f>IF(A34&lt;&gt;" ",LOOKUP(A34,Melee!$A$2:$A$26,Melee!$B$2:$B$26),"")</f>
        <v/>
      </c>
      <c r="E34" s="234" t="str">
        <f t="shared" si="14"/>
        <v/>
      </c>
      <c r="F34" s="237" t="str">
        <f t="shared" si="15"/>
        <v/>
      </c>
      <c r="G34" s="12"/>
      <c r="H34" s="43" t="str">
        <f>IF(B1&lt;&gt;"",LOOKUP(B1,Critters!A2:A159,Critters!AP2:AP159),"")</f>
        <v xml:space="preserve"> </v>
      </c>
      <c r="I34" s="269"/>
      <c r="J34" s="269"/>
      <c r="K34" s="166" t="str">
        <f ca="1">IF(H34&lt;&gt;" ",RANDBETWEEN(1,3)+RANDBETWEEN(1,3),"")</f>
        <v/>
      </c>
      <c r="L34" s="46" t="str">
        <f>IF(H34&lt;&gt;" ",LOOKUP(H34,Skills!A3:A94,Skills!B3:B94),"")</f>
        <v/>
      </c>
      <c r="M34" s="270" t="str">
        <f t="shared" si="13"/>
        <v/>
      </c>
      <c r="N34" s="271" t="str">
        <f t="shared" si="11"/>
        <v/>
      </c>
      <c r="O34" s="221"/>
      <c r="P34" s="221"/>
      <c r="Q34" s="221"/>
      <c r="R34" s="12"/>
      <c r="S34" s="140"/>
      <c r="T34" s="276">
        <f t="shared" si="12"/>
        <v>0</v>
      </c>
      <c r="U34" s="276" t="str">
        <f t="shared" si="9"/>
        <v/>
      </c>
    </row>
    <row r="35" spans="1:33">
      <c r="A35" s="43" t="str">
        <f>IF(B1&gt;0,LOOKUP(B1,Critters!A2:A159,Critters!AA2:AA159)," ")</f>
        <v xml:space="preserve"> </v>
      </c>
      <c r="B35" s="13"/>
      <c r="C35" s="46" t="str">
        <f>IF(A35&lt;&gt;" ",LOOKUP(A35,Melee!$A$2:$A$26,Melee!$C$2:$C$26),"")</f>
        <v/>
      </c>
      <c r="D35" s="46" t="str">
        <f>IF(A35&lt;&gt;" ",LOOKUP(A35,Melee!$A$2:$A$26,Melee!$B$2:$B$26),"")</f>
        <v/>
      </c>
      <c r="E35" s="46" t="str">
        <f t="shared" si="14"/>
        <v/>
      </c>
      <c r="F35" s="45" t="str">
        <f t="shared" si="15"/>
        <v/>
      </c>
      <c r="G35" s="12"/>
      <c r="H35" s="81" t="str">
        <f>IF(B1&lt;&gt;"",LOOKUP(B1,Critters!A2:A159,Critters!AR2:AR159),"")</f>
        <v xml:space="preserve"> </v>
      </c>
      <c r="I35" s="272"/>
      <c r="J35" s="272"/>
      <c r="K35" s="166" t="str">
        <f ca="1">IF(H35&lt;&gt;" ",RANDBETWEEN(1,3)+RANDBETWEEN(1,3),"")</f>
        <v/>
      </c>
      <c r="L35" s="46" t="str">
        <f>IF(H35&lt;&gt;" ",LOOKUP(H35,Skills!A4:A95,Skills!B4:B95),"")</f>
        <v/>
      </c>
      <c r="M35" s="270" t="str">
        <f t="shared" si="13"/>
        <v/>
      </c>
      <c r="N35" s="271" t="str">
        <f t="shared" si="11"/>
        <v/>
      </c>
      <c r="O35" s="221"/>
      <c r="P35" s="221"/>
      <c r="Q35" s="221"/>
      <c r="R35" s="12"/>
      <c r="S35" s="140"/>
      <c r="T35" s="276">
        <f t="shared" si="12"/>
        <v>0</v>
      </c>
      <c r="U35" s="276" t="str">
        <f t="shared" si="9"/>
        <v/>
      </c>
    </row>
    <row r="36" spans="1:33">
      <c r="A36" s="236" t="str">
        <f>IF(B1&gt;0,LOOKUP(B1,Critters!A2:A159,Critters!AB2:AB159)," ")</f>
        <v xml:space="preserve"> </v>
      </c>
      <c r="B36" s="235"/>
      <c r="C36" s="234" t="str">
        <f>IF(A36&lt;&gt;" ",LOOKUP(A36,Melee!$A$2:$A$26,Melee!$C$2:$C$26),"")</f>
        <v/>
      </c>
      <c r="D36" s="234" t="str">
        <f>IF(A36&lt;&gt;" ",LOOKUP(A36,Melee!$A$2:$A$26,Melee!$B$2:$B$26),"")</f>
        <v/>
      </c>
      <c r="E36" s="234" t="str">
        <f t="shared" si="14"/>
        <v/>
      </c>
      <c r="F36" s="237" t="str">
        <f t="shared" si="15"/>
        <v/>
      </c>
      <c r="G36" s="12"/>
      <c r="H36" s="43" t="str">
        <f>IF(B1&lt;&gt;"",LOOKUP(B1,Critters!A2:A159,Critters!AT2:AT159),"")</f>
        <v xml:space="preserve"> </v>
      </c>
      <c r="I36" s="269"/>
      <c r="J36" s="269"/>
      <c r="K36" s="166" t="str">
        <f ca="1">IF(H36&lt;&gt;" ",RANDBETWEEN(1,3)+RANDBETWEEN(1,3),"")</f>
        <v/>
      </c>
      <c r="L36" s="46" t="str">
        <f>IF(H36&lt;&gt;" ",LOOKUP(H36,Skills!A5:A96,Skills!B5:B96),"")</f>
        <v/>
      </c>
      <c r="M36" s="270" t="str">
        <f t="shared" si="13"/>
        <v/>
      </c>
      <c r="N36" s="271" t="str">
        <f t="shared" si="11"/>
        <v/>
      </c>
      <c r="O36" s="221"/>
      <c r="P36" s="221"/>
      <c r="Q36" s="221"/>
      <c r="R36" s="12"/>
      <c r="S36" s="140"/>
      <c r="T36" s="276">
        <f t="shared" si="12"/>
        <v>0</v>
      </c>
      <c r="U36" s="276" t="str">
        <f t="shared" si="9"/>
        <v/>
      </c>
    </row>
    <row r="37" spans="1:33" ht="14" thickBot="1">
      <c r="A37" s="30" t="str">
        <f>IF(B1&gt;0,LOOKUP(B1,Critters!A2:A159,Critters!AC2:AC159)," ")</f>
        <v xml:space="preserve"> </v>
      </c>
      <c r="B37" s="31"/>
      <c r="C37" s="48" t="str">
        <f>IF(A37&lt;&gt;" ",LOOKUP(A37,Melee!$A$2:$A$26,Melee!$C$2:$C$26),"")</f>
        <v/>
      </c>
      <c r="D37" s="48" t="str">
        <f>IF(A37&lt;&gt;" ",LOOKUP(A37,Melee!$A$2:$A$26,Melee!$B$2:$B$26),"")</f>
        <v/>
      </c>
      <c r="E37" s="48" t="str">
        <f t="shared" si="14"/>
        <v/>
      </c>
      <c r="F37" s="26" t="str">
        <f t="shared" si="15"/>
        <v/>
      </c>
      <c r="G37" s="12"/>
      <c r="H37" s="30" t="str">
        <f>IF(B1&lt;&gt;"",LOOKUP(B1,Critters!A2:A159,Critters!AV2:AV159),"")</f>
        <v xml:space="preserve"> </v>
      </c>
      <c r="I37" s="273"/>
      <c r="J37" s="273"/>
      <c r="K37" s="230" t="str">
        <f ca="1">IF(H37&lt;&gt;" ",RANDBETWEEN(1,3)+RANDBETWEEN(1,3),"")</f>
        <v/>
      </c>
      <c r="L37" s="48" t="str">
        <f>IF(H37&lt;&gt;" ",LOOKUP(H37,Skills!A6:A97,Skills!B6:B97),"")</f>
        <v/>
      </c>
      <c r="M37" s="274" t="str">
        <f t="shared" si="13"/>
        <v/>
      </c>
      <c r="N37" s="275" t="str">
        <f t="shared" si="11"/>
        <v/>
      </c>
      <c r="O37" s="221"/>
      <c r="P37" s="221"/>
      <c r="Q37" s="221"/>
      <c r="R37" s="12"/>
      <c r="S37" s="140"/>
      <c r="T37" s="276">
        <f t="shared" si="12"/>
        <v>0</v>
      </c>
      <c r="U37" s="276" t="str">
        <f t="shared" si="9"/>
        <v/>
      </c>
    </row>
    <row r="38" spans="1:33" ht="14" thickBot="1">
      <c r="A38" s="29"/>
      <c r="B38" s="12"/>
      <c r="C38" s="12"/>
      <c r="D38" s="12"/>
      <c r="E38" s="74"/>
      <c r="F38" s="12"/>
      <c r="G38" s="2"/>
      <c r="H38" s="2"/>
      <c r="I38" s="2"/>
      <c r="J38" s="2"/>
      <c r="K38" s="118"/>
      <c r="L38" s="118"/>
      <c r="M38" s="118"/>
      <c r="N38" s="155"/>
    </row>
    <row r="39" spans="1:33">
      <c r="A39" s="32" t="s">
        <v>1240</v>
      </c>
      <c r="B39" s="102"/>
      <c r="C39" s="102" t="s">
        <v>1279</v>
      </c>
      <c r="D39" s="103" t="s">
        <v>1263</v>
      </c>
      <c r="E39" s="104" t="s">
        <v>2262</v>
      </c>
      <c r="F39" s="102" t="s">
        <v>1617</v>
      </c>
      <c r="G39" s="102"/>
      <c r="H39" s="102" t="s">
        <v>2262</v>
      </c>
      <c r="I39" s="103" t="s">
        <v>2307</v>
      </c>
      <c r="J39" s="104" t="s">
        <v>2262</v>
      </c>
      <c r="K39" s="243" t="s">
        <v>2261</v>
      </c>
      <c r="L39" s="243" t="s">
        <v>2262</v>
      </c>
      <c r="M39" s="105" t="s">
        <v>2308</v>
      </c>
      <c r="N39" s="108" t="s">
        <v>2262</v>
      </c>
      <c r="R39" s="32" t="s">
        <v>711</v>
      </c>
      <c r="S39" s="102" t="s">
        <v>1281</v>
      </c>
      <c r="T39" s="102" t="s">
        <v>1279</v>
      </c>
      <c r="U39" s="103" t="s">
        <v>1263</v>
      </c>
      <c r="V39" s="104" t="s">
        <v>2262</v>
      </c>
      <c r="W39" s="102" t="s">
        <v>1617</v>
      </c>
      <c r="X39" s="102"/>
      <c r="Y39" s="102" t="s">
        <v>2262</v>
      </c>
      <c r="Z39" s="103" t="s">
        <v>2307</v>
      </c>
      <c r="AA39" s="104" t="s">
        <v>2262</v>
      </c>
      <c r="AB39" s="102" t="s">
        <v>2261</v>
      </c>
      <c r="AC39" s="102" t="s">
        <v>2262</v>
      </c>
      <c r="AD39" s="103" t="s">
        <v>2308</v>
      </c>
      <c r="AE39" s="252" t="s">
        <v>2262</v>
      </c>
    </row>
    <row r="40" spans="1:33">
      <c r="A40" s="29" t="str">
        <f>IF(B1&gt;0,LOOKUP(B1,Critters!A2:A159,Critters!AF2:AF159)," ")</f>
        <v xml:space="preserve"> </v>
      </c>
      <c r="B40" s="12" t="str">
        <f>S40</f>
        <v/>
      </c>
      <c r="C40" s="74" t="str">
        <f>IF(A40=" ","",IF(T40="Yes",F6,0))</f>
        <v/>
      </c>
      <c r="D40" s="58" t="str">
        <f>U40</f>
        <v/>
      </c>
      <c r="E40" s="56" t="str">
        <f>IF($A$40=" ","",IF($C$40=0,V40&amp;$R$21,V40&amp;$S$21&amp;$C$40))</f>
        <v/>
      </c>
      <c r="F40" s="246" t="str">
        <f>W40</f>
        <v/>
      </c>
      <c r="G40" s="246"/>
      <c r="H40" s="16" t="str">
        <f>IF($A$40=" ","",IF($C$40=0,Y40&amp;$R$21,Y40&amp;$S$21&amp;$C$40))</f>
        <v/>
      </c>
      <c r="I40" s="58" t="str">
        <f>Z40</f>
        <v/>
      </c>
      <c r="J40" s="56" t="str">
        <f>IF($A$40=" ","",IF($C$40=0,AA40&amp;$R$21,AA40&amp;$S$21&amp;$C$40))</f>
        <v/>
      </c>
      <c r="K40" s="246" t="str">
        <f>AB40</f>
        <v/>
      </c>
      <c r="L40" s="16" t="str">
        <f>IF($A$40=" ","",IF($C$40=0,AF40&amp;$R$21,AF40&amp;$S$21&amp;$C$40))</f>
        <v/>
      </c>
      <c r="M40" s="58" t="str">
        <f>AD40</f>
        <v/>
      </c>
      <c r="N40" s="59" t="str">
        <f>IF($A$40=" ","",IF($C$40=0,AG40&amp;$R$21,AG40&amp;$S$21&amp;$C$40))</f>
        <v/>
      </c>
      <c r="R40" s="29" t="str">
        <f>A40</f>
        <v xml:space="preserve"> </v>
      </c>
      <c r="S40" s="12" t="str">
        <f>IF(A40&lt;&gt;" ",LOOKUP(A40,Distance!A2:A17,Distance!D2:D17),"")</f>
        <v/>
      </c>
      <c r="T40" s="74" t="str">
        <f>IF(A40&lt;&gt;" ",LOOKUP(A40,Distance!$A$2:$A$17,Distance!$J$2:$J$17),"")</f>
        <v/>
      </c>
      <c r="U40" s="58" t="str">
        <f>IF(A40&lt;&gt;" ",LOOKUP(A40,Distance!A2:A17,Distance!E2:E17),"")</f>
        <v/>
      </c>
      <c r="V40" s="56" t="str">
        <f>IF(A40&lt;&gt;" ",Y40+1,"")</f>
        <v/>
      </c>
      <c r="W40" s="246" t="str">
        <f>IF(A40&lt;&gt;" ",LOOKUP(A40,Distance!A2:A17,Distance!F2:F17),"")</f>
        <v/>
      </c>
      <c r="X40" s="246"/>
      <c r="Y40" s="16" t="str">
        <f>IF(A40&lt;&gt;" ",LOOKUP(A40,Distance!A2:A17,Distance!C2:C17),"")</f>
        <v/>
      </c>
      <c r="Z40" s="58" t="str">
        <f>IF(A40&lt;&gt;" ",LOOKUP(A40,Distance!A2:A17,Distance!G2:G17),"")</f>
        <v/>
      </c>
      <c r="AA40" s="56" t="str">
        <f>Y40</f>
        <v/>
      </c>
      <c r="AB40" s="246" t="str">
        <f>IF(A40&lt;&gt;" ",LOOKUP(A40,Distance!A2:A17,Distance!H2:H17),"")</f>
        <v/>
      </c>
      <c r="AC40" s="16" t="str">
        <f>IF(A40&lt;&gt;" ",Y40*0.75,"")</f>
        <v/>
      </c>
      <c r="AD40" s="58" t="str">
        <f>IF(A40&lt;&gt;" ",LOOKUP(A40,Distance!A2:A17,Distance!I2:I17),"")</f>
        <v/>
      </c>
      <c r="AE40" s="59" t="str">
        <f>IF(A40&lt;&gt;" ",Y40*0.5,"")</f>
        <v/>
      </c>
      <c r="AF40" t="str">
        <f>IF(AC40="","",FIXED(AC40,0))</f>
        <v/>
      </c>
      <c r="AG40" t="str">
        <f>IF(AE40="","",FIXED(AE40,0))</f>
        <v/>
      </c>
    </row>
    <row r="41" spans="1:33" ht="14" thickBot="1">
      <c r="A41" s="30" t="str">
        <f>IF(B1&gt;0,LOOKUP(B1,Critters!A2:A159,Critters!AF2:AF159)," ")</f>
        <v xml:space="preserve"> </v>
      </c>
      <c r="B41" s="13" t="str">
        <f>S41</f>
        <v/>
      </c>
      <c r="C41" s="72" t="str">
        <f>IF(A41=" ","",IF(T41="Yes",#REF!,0))</f>
        <v/>
      </c>
      <c r="D41" s="60" t="str">
        <f>U41</f>
        <v/>
      </c>
      <c r="E41" s="61" t="str">
        <f>IF($A$41=" ","",IF($C$41=0,V41&amp;$R$21,V41&amp;$S$21&amp;$C$41))</f>
        <v/>
      </c>
      <c r="F41" s="247" t="str">
        <f>W41</f>
        <v/>
      </c>
      <c r="G41" s="247"/>
      <c r="H41" s="245" t="str">
        <f>IF($A$41=" ","",IF($C$41=0,Y41&amp;$R$21,Y41&amp;$S$21&amp;$C$41))</f>
        <v/>
      </c>
      <c r="I41" s="62" t="str">
        <f>Z41</f>
        <v/>
      </c>
      <c r="J41" s="61" t="str">
        <f>IF($A$41=" ","",IF($C$41=0,AA41&amp;$R$21,AA41&amp;$S$21&amp;$C$41))</f>
        <v/>
      </c>
      <c r="K41" s="245" t="str">
        <f>AB41</f>
        <v/>
      </c>
      <c r="L41" s="245" t="str">
        <f>IF($A$41=" ","",IF($C$41=0,AF41&amp;$R$21,AF41&amp;$S$21&amp;$C$41))</f>
        <v/>
      </c>
      <c r="M41" s="60" t="str">
        <f>AD41</f>
        <v/>
      </c>
      <c r="N41" s="253" t="str">
        <f>IF($A$41=" ","",IF($C$41=0,AG41&amp;$R$21,AG41&amp;$S$21&amp;$C$41))</f>
        <v/>
      </c>
      <c r="R41" s="43" t="str">
        <f>A41</f>
        <v xml:space="preserve"> </v>
      </c>
      <c r="S41" s="13" t="str">
        <f>IF(A41&lt;&gt;" ",LOOKUP(A41,Distance!A2:A17,Distance!D2:D17),"")</f>
        <v/>
      </c>
      <c r="T41" s="72" t="str">
        <f>IF(A41&lt;&gt;" ",LOOKUP(A41,Distance!$A$2:$A$17,Distance!$J$2:$J$17),"")</f>
        <v/>
      </c>
      <c r="U41" s="60" t="str">
        <f>IF(A41&lt;&gt;" ",LOOKUP(A41,Distance!A2:A17,Distance!E2:E17),"")</f>
        <v/>
      </c>
      <c r="V41" s="61" t="str">
        <f>IF(A41&lt;&gt;" ",Y41+1,"")</f>
        <v/>
      </c>
      <c r="W41" s="247" t="str">
        <f>IF(A41&lt;&gt;" ",LOOKUP(A41,Distance!A2:A17,Distance!F2:F17),"")</f>
        <v/>
      </c>
      <c r="X41" s="247"/>
      <c r="Y41" s="245" t="str">
        <f>IF(A41&lt;&gt;" ",LOOKUP(A41,Distance!A2:A17,Distance!C2:C17),"")</f>
        <v/>
      </c>
      <c r="Z41" s="62" t="str">
        <f>IF(A41&lt;&gt;" ",LOOKUP(A41,Distance!A2:A17,Distance!G2:G17),"")</f>
        <v/>
      </c>
      <c r="AA41" s="61" t="str">
        <f>Y41</f>
        <v/>
      </c>
      <c r="AB41" s="245" t="str">
        <f>IF(A41&lt;&gt;" ",LOOKUP(A41,Distance!A2:A17,Distance!H2:H17),"")</f>
        <v/>
      </c>
      <c r="AC41" s="61" t="str">
        <f>IF(A41&lt;&gt;" ",Y41*0.75,"")</f>
        <v/>
      </c>
      <c r="AD41" s="60" t="str">
        <f>IF(A41&lt;&gt;" ",LOOKUP(A41,Distance!A2:A17,Distance!I2:I17),"")</f>
        <v/>
      </c>
      <c r="AE41" s="253" t="str">
        <f>IF(A41&lt;&gt;" ",Y41*0.5,"")</f>
        <v/>
      </c>
      <c r="AF41" t="str">
        <f>IF(AC41="","",FIXED(AC41,0))</f>
        <v/>
      </c>
      <c r="AG41" t="str">
        <f>IF(AE41="","",FIXED(AE41,0))</f>
        <v/>
      </c>
    </row>
    <row r="42" spans="1:33" ht="14" thickBot="1">
      <c r="A42" s="210"/>
      <c r="B42" s="132"/>
      <c r="C42" s="211"/>
      <c r="D42" s="67"/>
      <c r="E42" s="67"/>
      <c r="F42" s="67"/>
      <c r="G42" s="67"/>
      <c r="H42" s="67"/>
      <c r="I42" s="67"/>
      <c r="J42" s="113"/>
      <c r="K42" s="67"/>
      <c r="L42" s="67"/>
      <c r="M42" s="67"/>
      <c r="N42" s="169"/>
    </row>
    <row r="43" spans="1:33">
      <c r="A43" s="32" t="s">
        <v>1513</v>
      </c>
      <c r="B43" s="104" t="s">
        <v>1243</v>
      </c>
      <c r="C43" s="105" t="s">
        <v>1916</v>
      </c>
      <c r="D43" s="106" t="s">
        <v>2370</v>
      </c>
      <c r="E43" s="105" t="s">
        <v>1662</v>
      </c>
      <c r="F43" s="292" t="s">
        <v>1663</v>
      </c>
      <c r="G43" s="106"/>
      <c r="H43" s="105" t="s">
        <v>1689</v>
      </c>
      <c r="I43" s="106" t="s">
        <v>1791</v>
      </c>
      <c r="J43" s="105" t="s">
        <v>2102</v>
      </c>
      <c r="K43" s="208"/>
      <c r="L43" s="243"/>
      <c r="M43" s="243"/>
      <c r="N43" s="108"/>
    </row>
    <row r="44" spans="1:33">
      <c r="A44" s="33" t="str">
        <f>IF(B1&gt;0,LOOKUP(B1,Critters!A2:A159,Critters!AG2:AG159),"")</f>
        <v xml:space="preserve"> </v>
      </c>
      <c r="B44" s="209" t="str">
        <f>IF(A44&lt;&gt;" ",LOOKUP(A44,SpecialAttacks!$A$2:$A$47,SpecialAttacks!$V$2:$V$47),"")</f>
        <v/>
      </c>
      <c r="C44" s="58" t="str">
        <f>IF(A44&lt;&gt;" ",LOOKUP(A44,SpecialAttacks!$A$2:$A$47,SpecialAttacks!$N$2:$N$47),"")</f>
        <v/>
      </c>
      <c r="D44" s="56" t="str">
        <f>IF(A44&lt;&gt;" ",LOOKUP(A44,SpecialAttacks!$A$2:$A$47,SpecialAttacks!$Q$2:$Q$47),"")</f>
        <v/>
      </c>
      <c r="E44" s="58" t="str">
        <f>IF(A44&lt;&gt;" ",LOOKUP(A44,SpecialAttacks!$A$2:$A$47,SpecialAttacks!$P$2:$P$47),"")</f>
        <v/>
      </c>
      <c r="F44" s="293" t="str">
        <f>IF(A44&lt;&gt;" ",LOOKUP(A44,SpecialAttacks!$A$2:$A$47,SpecialAttacks!$R$2:$R$47),"")</f>
        <v/>
      </c>
      <c r="G44" s="296"/>
      <c r="H44" s="58" t="str">
        <f>IF(A44&lt;&gt;" ",LOOKUP(A44,SpecialAttacks!$A$2:$A$47,SpecialAttacks!$W$2:$W$47),"")</f>
        <v/>
      </c>
      <c r="I44" s="56" t="str">
        <f>IF(A44&lt;&gt;" ",LOOKUP(A44,SpecialAttacks!$A$2:$A$47,SpecialAttacks!$X$2:$X$47),"")</f>
        <v/>
      </c>
      <c r="J44" s="214" t="str">
        <f>IF(A44&lt;&gt;" ",LOOKUP(A44,SpecialAttacks!$A$2:$A$47,SpecialAttacks!$Y$2:$Y$47),"")</f>
        <v/>
      </c>
      <c r="K44" s="212"/>
      <c r="L44" s="171"/>
      <c r="M44" s="171"/>
      <c r="N44" s="216"/>
    </row>
    <row r="45" spans="1:33">
      <c r="A45" s="44" t="str">
        <f>IF(B1&gt;0,LOOKUP(B1,Critters!A2:A159,Critters!AH2:AH159),"")</f>
        <v xml:space="preserve"> </v>
      </c>
      <c r="B45" s="202" t="str">
        <f>IF(A45&lt;&gt;" ",LOOKUP(A45,SpecialAttacks!A2:A47,SpecialAttacks!V2:V47),"")</f>
        <v/>
      </c>
      <c r="C45" s="62" t="str">
        <f>IF(A45&lt;&gt;" ",LOOKUP(A45,SpecialAttacks!A2:A47,SpecialAttacks!N2:N47),"")</f>
        <v/>
      </c>
      <c r="D45" s="61" t="str">
        <f>IF(A45&lt;&gt;" ",LOOKUP(A45,SpecialAttacks!A2:A47,SpecialAttacks!Q2:Q47),"")</f>
        <v/>
      </c>
      <c r="E45" s="62" t="str">
        <f>IF(A45&lt;&gt;" ",LOOKUP(A45,SpecialAttacks!A2:A47,SpecialAttacks!P2:P47),"")</f>
        <v/>
      </c>
      <c r="F45" s="295" t="str">
        <f>IF(A45&lt;&gt;" ",LOOKUP(A45,SpecialAttacks!A2:A47,SpecialAttacks!R2:R47),"")</f>
        <v/>
      </c>
      <c r="G45" s="226"/>
      <c r="H45" s="62" t="str">
        <f>IF(A45&lt;&gt;" ",LOOKUP(A45,SpecialAttacks!A2:A47,SpecialAttacks!W2:W47),"")</f>
        <v/>
      </c>
      <c r="I45" s="61" t="str">
        <f>IF(A45&lt;&gt;" ",LOOKUP(A45,SpecialAttacks!A2:A47,SpecialAttacks!X2:X47),"")</f>
        <v/>
      </c>
      <c r="J45" s="215" t="str">
        <f>IF(A45&lt;&gt;" ",LOOKUP(A45,SpecialAttacks!A2:A47,SpecialAttacks!Y2:Y47),"")</f>
        <v/>
      </c>
      <c r="K45" s="213"/>
      <c r="L45" s="116"/>
      <c r="M45" s="116"/>
      <c r="N45" s="217"/>
    </row>
    <row r="46" spans="1:33">
      <c r="A46" s="206" t="str">
        <f>IF(B1&gt;0,LOOKUP(B1,Critters!A2:A159,Critters!AI2:AI159),"")</f>
        <v xml:space="preserve"> </v>
      </c>
      <c r="B46" s="201" t="str">
        <f>IF(A46&lt;&gt;" ",LOOKUP(A46,SpecialAttacks!A2:A47,SpecialAttacks!V2:V47),"")</f>
        <v/>
      </c>
      <c r="C46" s="203" t="str">
        <f>IF(A46&lt;&gt;" ",LOOKUP(A46,SpecialAttacks!A2:A47,SpecialAttacks!N2:N47),"")</f>
        <v/>
      </c>
      <c r="D46" s="204" t="str">
        <f>IF(A46&lt;&gt;" ",LOOKUP(A46,SpecialAttacks!A2:A47,SpecialAttacks!Q2:Q47),"")</f>
        <v/>
      </c>
      <c r="E46" s="203" t="str">
        <f>IF(A46&lt;&gt;" ",LOOKUP(A46,SpecialAttacks!A2:A47,SpecialAttacks!P2:P47),"")</f>
        <v/>
      </c>
      <c r="F46" s="289" t="str">
        <f>IF(A46&lt;&gt;" ",LOOKUP(A46,SpecialAttacks!A2:A47,SpecialAttacks!R2:R47),"")</f>
        <v/>
      </c>
      <c r="G46" s="204"/>
      <c r="H46" s="203" t="str">
        <f>IF(A46&lt;&gt;" ",LOOKUP(A46,SpecialAttacks!A2:A47,SpecialAttacks!W2:W47),"")</f>
        <v/>
      </c>
      <c r="I46" s="204" t="str">
        <f>IF(A46&lt;&gt;" ",LOOKUP(A46,SpecialAttacks!A2:A47,SpecialAttacks!X2:X47),"")</f>
        <v/>
      </c>
      <c r="J46" s="196" t="str">
        <f>IF(A46&lt;&gt;" ",LOOKUP(A46,SpecialAttacks!A2:A47,SpecialAttacks!Y2:Y47),"")</f>
        <v/>
      </c>
      <c r="K46" s="111"/>
      <c r="L46" s="197"/>
      <c r="M46" s="197"/>
      <c r="N46" s="198"/>
    </row>
    <row r="47" spans="1:33">
      <c r="A47" s="44" t="str">
        <f>IF(B1&gt;0,LOOKUP(B1,Critters!A2:A159,Critters!AJ2:AJ159),"")</f>
        <v xml:space="preserve"> </v>
      </c>
      <c r="B47" s="202" t="str">
        <f>IF(A47&lt;&gt;" ",LOOKUP(A47,SpecialAttacks!A2:A47,SpecialAttacks!V2:V47),"")</f>
        <v/>
      </c>
      <c r="C47" s="60" t="str">
        <f>IF(A47&lt;&gt;" ",LOOKUP(A47,SpecialAttacks!A2:A47,SpecialAttacks!N2:N47),"")</f>
        <v/>
      </c>
      <c r="D47" s="61" t="str">
        <f>IF(A47&lt;&gt;" ",LOOKUP(A47,SpecialAttacks!A2:A47,SpecialAttacks!Q2:Q47),"")</f>
        <v/>
      </c>
      <c r="E47" s="60" t="str">
        <f>IF(A47&lt;&gt;" ",LOOKUP(A47,SpecialAttacks!A2:A47,SpecialAttacks!P2:P47),"")</f>
        <v/>
      </c>
      <c r="F47" s="288" t="str">
        <f>IF(A47&lt;&gt;" ",LOOKUP(A47,SpecialAttacks!A2:A47,SpecialAttacks!R2:R47),"")</f>
        <v/>
      </c>
      <c r="G47" s="61"/>
      <c r="H47" s="60" t="str">
        <f>IF(A47&lt;&gt;" ",LOOKUP(A47,SpecialAttacks!A2:A47,SpecialAttacks!W2:W47),"")</f>
        <v/>
      </c>
      <c r="I47" s="61" t="str">
        <f>IF(A47&lt;&gt;" ",LOOKUP(A47,SpecialAttacks!A2:A47,SpecialAttacks!X2:X47),"")</f>
        <v/>
      </c>
      <c r="J47" s="205" t="str">
        <f>IF(A47&lt;&gt;" ",LOOKUP(A47,SpecialAttacks!A2:A47,SpecialAttacks!Y2:Y47),"")</f>
        <v/>
      </c>
      <c r="K47" s="110"/>
      <c r="L47" s="116"/>
      <c r="M47" s="116"/>
      <c r="N47" s="217"/>
    </row>
    <row r="48" spans="1:33">
      <c r="A48" s="206" t="str">
        <f>IF(B1&gt;0,LOOKUP(B1,Critters!A2:A159,Critters!AK2:AK159),"")</f>
        <v xml:space="preserve"> </v>
      </c>
      <c r="B48" s="201" t="str">
        <f>IF(A48&lt;&gt;" ",LOOKUP(A48,SpecialAttacks!A51:A60,SpecialAttacks!B51:B60),"")</f>
        <v/>
      </c>
      <c r="C48" s="203" t="str">
        <f>IF(A48&lt;&gt;" ",LOOKUP(A48,SpecialAttacks!A51:A60,SpecialAttacks!C51:C60),"")</f>
        <v/>
      </c>
      <c r="D48" s="204" t="str">
        <f>IF(A48&lt;&gt;" ",LOOKUP(A48,SpecialAttacks!A51:A60,SpecialAttacks!D51:D60),"")</f>
        <v/>
      </c>
      <c r="E48" s="203" t="str">
        <f>IF(A48&lt;&gt;" ",LOOKUP(A48,SpecialAttacks!A51:A60,SpecialAttacks!E51:E60),"")</f>
        <v/>
      </c>
      <c r="F48" s="289" t="str">
        <f>IF(A48&lt;&gt;" ",LOOKUP(A48,SpecialAttacks!A51:A60,SpecialAttacks!F51:F60),"")</f>
        <v/>
      </c>
      <c r="G48" s="204"/>
      <c r="H48" s="203" t="str">
        <f>IF(A48&lt;&gt;" ",LOOKUP(A48,SpecialAttacks!A51:A60,SpecialAttacks!G51:G60),"")</f>
        <v/>
      </c>
      <c r="I48" s="204" t="str">
        <f>IF(A48&lt;&gt;" ",LOOKUP(A48,SpecialAttacks!A51:A60,SpecialAttacks!H51:H60),"")</f>
        <v/>
      </c>
      <c r="J48" s="196" t="str">
        <f>IF(A48&lt;&gt;" ",LOOKUP(A48,SpecialAttacks!A51:A60,SpecialAttacks!I51:I60),"")</f>
        <v/>
      </c>
      <c r="K48" s="111"/>
      <c r="L48" s="197"/>
      <c r="M48" s="197"/>
      <c r="N48" s="198"/>
    </row>
    <row r="49" spans="1:24" ht="14" thickBot="1">
      <c r="A49" s="34" t="str">
        <f>IF(B1&gt;0,LOOKUP(B1,Critters!A2:A159,Critters!AL2:AL159),"")</f>
        <v xml:space="preserve"> </v>
      </c>
      <c r="B49" s="207" t="str">
        <f>IF(A49&lt;&gt;" ",LOOKUP(A49,SpecialAttacks!A51:A60,SpecialAttacks!B51:B60),"")</f>
        <v/>
      </c>
      <c r="C49" s="63" t="str">
        <f>IF(A49&lt;&gt;" ",LOOKUP(A49,SpecialAttacks!A51:A60,SpecialAttacks!C51:C60),"")</f>
        <v/>
      </c>
      <c r="D49" s="64" t="str">
        <f>IF(A49&lt;&gt;" ",LOOKUP(A49,SpecialAttacks!A51:A60,SpecialAttacks!D51:D60),"")</f>
        <v/>
      </c>
      <c r="E49" s="63" t="str">
        <f>IF(A49&lt;&gt;" ",LOOKUP(A49,SpecialAttacks!A51:A60,SpecialAttacks!E51:E60),"")</f>
        <v/>
      </c>
      <c r="F49" s="291" t="str">
        <f>IF(A49&lt;&gt;" ",LOOKUP(A49,SpecialAttacks!A51:A60,SpecialAttacks!F51:F60),"")</f>
        <v/>
      </c>
      <c r="G49" s="64"/>
      <c r="H49" s="63" t="str">
        <f>IF(A49&lt;&gt;" ",LOOKUP(A49,SpecialAttacks!A51:A60,SpecialAttacks!G51:G60),"")</f>
        <v/>
      </c>
      <c r="I49" s="64" t="str">
        <f>IF(A49&lt;&gt;" ",LOOKUP(A49,SpecialAttacks!A51:A60,SpecialAttacks!H51:H60),"")</f>
        <v/>
      </c>
      <c r="J49" s="199" t="str">
        <f>IF(A49&lt;&gt;" ",LOOKUP(A49,SpecialAttacks!A51:A60,SpecialAttacks!I51:I60),"")</f>
        <v/>
      </c>
      <c r="K49" s="112"/>
      <c r="L49" s="117"/>
      <c r="M49" s="117"/>
      <c r="N49" s="200"/>
    </row>
    <row r="50" spans="1:24">
      <c r="A50" s="32" t="s">
        <v>2163</v>
      </c>
      <c r="B50" s="287" t="str">
        <f>IF(B1&gt;0,LOOKUP(B1,Critters!A2:A159,Critters!W2:W159),"")</f>
        <v>Deer-like.</v>
      </c>
      <c r="C50" s="287"/>
      <c r="D50" s="287"/>
      <c r="E50" s="287"/>
      <c r="F50" s="287"/>
      <c r="G50" s="287"/>
      <c r="H50" s="287"/>
      <c r="I50" s="287"/>
      <c r="J50" s="287"/>
      <c r="K50" s="287"/>
      <c r="L50" s="287"/>
      <c r="M50" s="287"/>
      <c r="N50" s="297"/>
    </row>
    <row r="51" spans="1:24" ht="14" thickBot="1">
      <c r="A51" s="34"/>
      <c r="B51" s="298"/>
      <c r="C51" s="298"/>
      <c r="D51" s="298"/>
      <c r="E51" s="298"/>
      <c r="F51" s="298"/>
      <c r="G51" s="298"/>
      <c r="H51" s="298"/>
      <c r="I51" s="298"/>
      <c r="J51" s="298"/>
      <c r="K51" s="298"/>
      <c r="L51" s="298"/>
      <c r="M51" s="298"/>
      <c r="N51" s="299"/>
    </row>
    <row r="52" spans="1:24">
      <c r="J52" s="221"/>
    </row>
    <row r="53" spans="1:24">
      <c r="R53" s="2" t="s">
        <v>1509</v>
      </c>
      <c r="S53" s="2"/>
      <c r="T53" s="2"/>
      <c r="U53" s="2"/>
      <c r="V53" s="2"/>
    </row>
    <row r="54" spans="1:24">
      <c r="R54" s="144">
        <v>-12</v>
      </c>
      <c r="S54" s="143" t="s">
        <v>1002</v>
      </c>
      <c r="T54" s="80">
        <f t="shared" ref="T54:T59" si="16">IF(D32&lt;1,LOOKUP(D32,$R$54:$R$66,$S$54:$S$66),0)</f>
        <v>0</v>
      </c>
      <c r="U54" s="80" t="str">
        <f t="shared" ref="U54:U59" ca="1" si="17">IF(E32&gt;0,"+","")</f>
        <v/>
      </c>
      <c r="V54" s="233" t="str">
        <f t="shared" ref="V54:V59" ca="1" si="18">T54&amp;U54</f>
        <v>0</v>
      </c>
      <c r="X54" s="90" t="str">
        <f t="shared" ref="X54:X59" ca="1" si="19">IF(E32=0,(D32&amp;$R$21&amp;U54),(D32&amp;$R$21&amp;U54&amp;E32))</f>
        <v>4D6</v>
      </c>
    </row>
    <row r="55" spans="1:24">
      <c r="R55" s="142">
        <v>-11</v>
      </c>
      <c r="S55" s="136" t="s">
        <v>1002</v>
      </c>
      <c r="T55" s="9">
        <f t="shared" si="16"/>
        <v>0</v>
      </c>
      <c r="U55" s="9" t="str">
        <f t="shared" ca="1" si="17"/>
        <v/>
      </c>
      <c r="V55" s="232" t="str">
        <f t="shared" ca="1" si="18"/>
        <v>0</v>
      </c>
      <c r="X55" s="90" t="str">
        <f t="shared" ca="1" si="19"/>
        <v>3D6</v>
      </c>
    </row>
    <row r="56" spans="1:24">
      <c r="R56" s="142">
        <v>-10</v>
      </c>
      <c r="S56" s="136" t="s">
        <v>1002</v>
      </c>
      <c r="T56" s="9">
        <f t="shared" si="16"/>
        <v>0</v>
      </c>
      <c r="U56" s="9" t="str">
        <f t="shared" si="17"/>
        <v>+</v>
      </c>
      <c r="V56" s="232" t="str">
        <f t="shared" si="18"/>
        <v>0+</v>
      </c>
      <c r="X56" s="90" t="str">
        <f t="shared" si="19"/>
        <v>D6+</v>
      </c>
    </row>
    <row r="57" spans="1:24">
      <c r="R57" s="142">
        <v>-9</v>
      </c>
      <c r="S57" s="136" t="s">
        <v>1002</v>
      </c>
      <c r="T57" s="9">
        <f t="shared" si="16"/>
        <v>0</v>
      </c>
      <c r="U57" s="9" t="str">
        <f t="shared" si="17"/>
        <v>+</v>
      </c>
      <c r="V57" s="232" t="str">
        <f t="shared" si="18"/>
        <v>0+</v>
      </c>
      <c r="X57" s="90" t="str">
        <f t="shared" si="19"/>
        <v>D6+</v>
      </c>
    </row>
    <row r="58" spans="1:24">
      <c r="R58" s="142">
        <v>-8</v>
      </c>
      <c r="S58" s="136" t="s">
        <v>1002</v>
      </c>
      <c r="T58" s="9">
        <f t="shared" si="16"/>
        <v>0</v>
      </c>
      <c r="U58" s="9" t="str">
        <f t="shared" si="17"/>
        <v>+</v>
      </c>
      <c r="V58" s="232" t="str">
        <f t="shared" si="18"/>
        <v>0+</v>
      </c>
      <c r="X58" s="90" t="str">
        <f t="shared" si="19"/>
        <v>D6+</v>
      </c>
    </row>
    <row r="59" spans="1:24">
      <c r="R59" s="142">
        <v>-7</v>
      </c>
      <c r="S59" s="136" t="s">
        <v>1002</v>
      </c>
      <c r="T59" s="9">
        <f t="shared" si="16"/>
        <v>0</v>
      </c>
      <c r="U59" s="9" t="str">
        <f t="shared" si="17"/>
        <v>+</v>
      </c>
      <c r="V59" s="232" t="str">
        <f t="shared" si="18"/>
        <v>0+</v>
      </c>
      <c r="X59" s="90" t="str">
        <f t="shared" si="19"/>
        <v>D6+</v>
      </c>
    </row>
    <row r="60" spans="1:24">
      <c r="R60" s="1">
        <v>-6</v>
      </c>
      <c r="S60" s="136" t="s">
        <v>1002</v>
      </c>
      <c r="T60" s="2"/>
      <c r="U60" s="2"/>
      <c r="V60" s="3"/>
    </row>
    <row r="61" spans="1:24">
      <c r="R61" s="1">
        <v>-5</v>
      </c>
      <c r="S61" s="136" t="s">
        <v>1002</v>
      </c>
      <c r="T61" s="2"/>
      <c r="U61" s="2"/>
      <c r="V61" s="3"/>
    </row>
    <row r="62" spans="1:24">
      <c r="R62" s="1">
        <v>-4</v>
      </c>
      <c r="S62" s="136" t="s">
        <v>1002</v>
      </c>
      <c r="T62" s="2"/>
      <c r="U62" s="2"/>
      <c r="V62" s="3"/>
    </row>
    <row r="63" spans="1:24">
      <c r="R63" s="1">
        <v>-3</v>
      </c>
      <c r="S63" s="136" t="s">
        <v>1459</v>
      </c>
      <c r="T63" s="2"/>
      <c r="U63" s="2"/>
      <c r="V63" s="3"/>
    </row>
    <row r="64" spans="1:24">
      <c r="R64" s="1">
        <v>-2</v>
      </c>
      <c r="S64" s="136" t="s">
        <v>1458</v>
      </c>
      <c r="T64" s="2"/>
      <c r="U64" s="2"/>
      <c r="V64" s="3"/>
    </row>
    <row r="65" spans="18:22">
      <c r="R65" s="1">
        <v>-1</v>
      </c>
      <c r="S65" s="136" t="s">
        <v>1716</v>
      </c>
      <c r="T65" s="2"/>
      <c r="U65" s="2"/>
      <c r="V65" s="3"/>
    </row>
    <row r="66" spans="18:22">
      <c r="R66" s="135">
        <v>0</v>
      </c>
      <c r="S66" s="137" t="s">
        <v>1715</v>
      </c>
      <c r="T66" s="4"/>
      <c r="U66" s="4"/>
      <c r="V66" s="85"/>
    </row>
  </sheetData>
  <sheetCalcPr fullCalcOnLoad="1"/>
  <sortState ref="R24:S37">
    <sortCondition ref="R25:R37"/>
  </sortState>
  <mergeCells count="3">
    <mergeCell ref="M6:M7"/>
    <mergeCell ref="K6:L7"/>
    <mergeCell ref="N6:N7"/>
  </mergeCells>
  <phoneticPr fontId="0"/>
  <pageMargins left="0.5" right="0.5" top="0.5" bottom="0.5" header="0" footer="0"/>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N309"/>
  <sheetViews>
    <sheetView workbookViewId="0">
      <pane xSplit="1" ySplit="1" topLeftCell="B2" activePane="bottomRight" state="frozenSplit"/>
      <selection sqref="A1:A1048576"/>
      <selection pane="topRight" activeCell="B1" sqref="B1"/>
      <selection pane="bottomLeft" activeCell="A2" sqref="A2"/>
      <selection pane="bottomRight" activeCell="P18" sqref="P18"/>
    </sheetView>
  </sheetViews>
  <sheetFormatPr baseColWidth="10" defaultRowHeight="13"/>
  <cols>
    <col min="1" max="1" width="33.83203125" style="313" customWidth="1"/>
    <col min="2" max="2" width="17.83203125" style="315" bestFit="1" customWidth="1"/>
    <col min="3" max="3" width="15.1640625" style="315" customWidth="1"/>
    <col min="4" max="4" width="13.1640625" style="315" bestFit="1" customWidth="1"/>
    <col min="5" max="51" width="10.83203125" style="315"/>
    <col min="52" max="52" width="17.83203125" style="313" bestFit="1" customWidth="1"/>
    <col min="53" max="53" width="37" style="322" bestFit="1" customWidth="1"/>
    <col min="54" max="54" width="33.83203125" style="313" customWidth="1"/>
    <col min="55" max="55" width="17.6640625" style="315" bestFit="1" customWidth="1"/>
    <col min="56" max="56" width="16.6640625" style="315" bestFit="1" customWidth="1"/>
    <col min="57" max="57" width="14.33203125" style="315" customWidth="1"/>
    <col min="58" max="68" width="10.83203125" style="315"/>
    <col min="69" max="70" width="10.83203125" style="313"/>
    <col min="71" max="74" width="10.83203125" style="315"/>
    <col min="75" max="75" width="12.83203125" style="315" bestFit="1" customWidth="1"/>
    <col min="76" max="82" width="10.83203125" style="315"/>
    <col min="83" max="83" width="10.83203125" style="313"/>
    <col min="84" max="92" width="10.83203125" style="315"/>
    <col min="93" max="16384" width="10.83203125" style="313"/>
  </cols>
  <sheetData>
    <row r="1" spans="1:92">
      <c r="A1" s="312" t="s">
        <v>976</v>
      </c>
      <c r="B1" s="314" t="s">
        <v>1398</v>
      </c>
      <c r="C1" s="312" t="s">
        <v>2103</v>
      </c>
      <c r="D1" s="312" t="s">
        <v>1099</v>
      </c>
      <c r="E1" s="316" t="s">
        <v>2071</v>
      </c>
      <c r="F1" s="316" t="s">
        <v>2350</v>
      </c>
      <c r="G1" s="316" t="s">
        <v>2351</v>
      </c>
      <c r="H1" s="316" t="s">
        <v>1954</v>
      </c>
      <c r="I1" s="316" t="s">
        <v>1955</v>
      </c>
      <c r="J1" s="316" t="s">
        <v>1956</v>
      </c>
      <c r="K1" s="316" t="s">
        <v>1402</v>
      </c>
      <c r="L1" s="316" t="s">
        <v>1278</v>
      </c>
      <c r="M1" s="316" t="s">
        <v>801</v>
      </c>
      <c r="N1" s="316" t="s">
        <v>2059</v>
      </c>
      <c r="O1" s="314" t="s">
        <v>1768</v>
      </c>
      <c r="P1" s="316" t="s">
        <v>2105</v>
      </c>
      <c r="Q1" s="316" t="s">
        <v>1125</v>
      </c>
      <c r="R1" s="316" t="s">
        <v>1126</v>
      </c>
      <c r="S1" s="316" t="s">
        <v>1127</v>
      </c>
      <c r="T1" s="316" t="s">
        <v>1128</v>
      </c>
      <c r="U1" s="316" t="s">
        <v>1129</v>
      </c>
      <c r="V1" s="316" t="s">
        <v>1130</v>
      </c>
      <c r="W1" s="312" t="s">
        <v>2664</v>
      </c>
      <c r="X1" s="312" t="s">
        <v>1868</v>
      </c>
      <c r="Y1" s="312" t="s">
        <v>1869</v>
      </c>
      <c r="Z1" s="312" t="s">
        <v>1870</v>
      </c>
      <c r="AA1" s="312" t="s">
        <v>1860</v>
      </c>
      <c r="AB1" s="312" t="s">
        <v>2215</v>
      </c>
      <c r="AC1" s="312" t="s">
        <v>2216</v>
      </c>
      <c r="AD1" s="314" t="s">
        <v>2348</v>
      </c>
      <c r="AE1" s="314" t="s">
        <v>1393</v>
      </c>
      <c r="AF1" s="312" t="s">
        <v>2164</v>
      </c>
      <c r="AG1" s="312" t="s">
        <v>2165</v>
      </c>
      <c r="AH1" s="312" t="s">
        <v>2166</v>
      </c>
      <c r="AI1" s="312" t="s">
        <v>2167</v>
      </c>
      <c r="AJ1" s="312" t="s">
        <v>2168</v>
      </c>
      <c r="AK1" s="312" t="s">
        <v>1728</v>
      </c>
      <c r="AL1" s="312" t="s">
        <v>1729</v>
      </c>
      <c r="AM1" s="312" t="s">
        <v>1730</v>
      </c>
      <c r="AN1" s="312" t="s">
        <v>1947</v>
      </c>
      <c r="AO1" s="314" t="s">
        <v>1403</v>
      </c>
      <c r="AP1" s="312" t="s">
        <v>1948</v>
      </c>
      <c r="AQ1" s="314" t="s">
        <v>1403</v>
      </c>
      <c r="AR1" s="312" t="s">
        <v>1985</v>
      </c>
      <c r="AS1" s="314" t="s">
        <v>1403</v>
      </c>
      <c r="AT1" s="312" t="s">
        <v>1986</v>
      </c>
      <c r="AU1" s="314" t="s">
        <v>1403</v>
      </c>
      <c r="AV1" s="312" t="s">
        <v>1987</v>
      </c>
      <c r="AW1" s="314" t="s">
        <v>1403</v>
      </c>
      <c r="AX1" s="314" t="s">
        <v>1965</v>
      </c>
      <c r="AY1" s="314" t="s">
        <v>1707</v>
      </c>
      <c r="AZ1" s="312" t="s">
        <v>2468</v>
      </c>
      <c r="BA1" s="312" t="s">
        <v>2371</v>
      </c>
      <c r="BB1" s="312" t="s">
        <v>976</v>
      </c>
      <c r="BC1" s="312" t="s">
        <v>518</v>
      </c>
      <c r="BD1" s="314" t="s">
        <v>594</v>
      </c>
      <c r="BE1" s="312" t="s">
        <v>676</v>
      </c>
      <c r="BF1" s="314" t="s">
        <v>595</v>
      </c>
      <c r="BG1" s="312" t="s">
        <v>575</v>
      </c>
      <c r="BH1" s="312" t="s">
        <v>697</v>
      </c>
      <c r="BI1" s="312" t="s">
        <v>698</v>
      </c>
      <c r="BJ1" s="312" t="s">
        <v>588</v>
      </c>
      <c r="BK1" s="312" t="s">
        <v>589</v>
      </c>
      <c r="BL1" s="312" t="s">
        <v>590</v>
      </c>
      <c r="BM1" s="312" t="s">
        <v>591</v>
      </c>
      <c r="BN1" s="312" t="s">
        <v>592</v>
      </c>
      <c r="BO1" s="312" t="s">
        <v>513</v>
      </c>
      <c r="BP1" s="312" t="s">
        <v>576</v>
      </c>
      <c r="BR1" s="312" t="s">
        <v>593</v>
      </c>
      <c r="BS1" s="314" t="s">
        <v>518</v>
      </c>
      <c r="BT1" s="314" t="s">
        <v>594</v>
      </c>
      <c r="BU1" s="314" t="s">
        <v>595</v>
      </c>
      <c r="BV1" s="314" t="s">
        <v>575</v>
      </c>
      <c r="BW1" s="314" t="s">
        <v>697</v>
      </c>
      <c r="BX1" s="314" t="s">
        <v>698</v>
      </c>
      <c r="BY1" s="314" t="s">
        <v>588</v>
      </c>
      <c r="BZ1" s="314" t="s">
        <v>589</v>
      </c>
      <c r="CA1" s="314" t="s">
        <v>590</v>
      </c>
      <c r="CB1" s="314" t="s">
        <v>591</v>
      </c>
      <c r="CC1" s="314" t="s">
        <v>592</v>
      </c>
      <c r="CD1" s="314" t="s">
        <v>513</v>
      </c>
      <c r="CF1" s="314"/>
      <c r="CG1" s="314"/>
      <c r="CH1" s="314"/>
      <c r="CI1" s="314"/>
      <c r="CJ1" s="314"/>
      <c r="CK1" s="314"/>
      <c r="CL1" s="314"/>
      <c r="CM1" s="314"/>
      <c r="CN1" s="314"/>
    </row>
    <row r="2" spans="1:92">
      <c r="A2" s="313" t="s">
        <v>916</v>
      </c>
      <c r="B2" s="315" t="str">
        <f t="shared" ref="B2:B19" si="0">BD2</f>
        <v>D10 X100 +D100</v>
      </c>
      <c r="C2" s="313" t="str">
        <f t="shared" ref="C2:C19" si="1">BC2</f>
        <v>Herbivore</v>
      </c>
      <c r="D2" s="313" t="str">
        <f t="shared" ref="D2:D19" si="2">BE2</f>
        <v>Non-threatening</v>
      </c>
      <c r="E2" s="315">
        <v>0</v>
      </c>
      <c r="F2" s="315">
        <v>0</v>
      </c>
      <c r="G2" s="315">
        <v>0</v>
      </c>
      <c r="H2" s="315">
        <v>0</v>
      </c>
      <c r="I2" s="315">
        <v>0</v>
      </c>
      <c r="J2" s="315">
        <v>0</v>
      </c>
      <c r="K2" s="315">
        <v>0</v>
      </c>
      <c r="L2" s="315">
        <v>0</v>
      </c>
      <c r="M2" s="315">
        <f>IF(C2="Carnivore",15,10)</f>
        <v>10</v>
      </c>
      <c r="N2" s="315">
        <v>0</v>
      </c>
      <c r="O2" s="315">
        <f t="shared" ref="O2:O19" si="3">BF2</f>
        <v>2</v>
      </c>
      <c r="P2" s="315">
        <f t="shared" ref="P2:P19" si="4">LOOKUP(BH2,$BU$54:$BU$71,$BS$54:$BS$71)</f>
        <v>-9</v>
      </c>
      <c r="Q2" s="315" t="str">
        <f t="shared" ref="Q2:Q11" si="5">BJ2</f>
        <v>Fur/Feathers</v>
      </c>
      <c r="R2" s="315" t="str">
        <f t="shared" ref="R2:R19" si="6">Q2</f>
        <v>Fur/Feathers</v>
      </c>
      <c r="S2" s="315" t="str">
        <f t="shared" ref="S2:S19" si="7">Q2</f>
        <v>Fur/Feathers</v>
      </c>
      <c r="T2" s="315" t="str">
        <f t="shared" ref="T2:T19" si="8">Q2</f>
        <v>Fur/Feathers</v>
      </c>
      <c r="U2" s="315" t="str">
        <f t="shared" ref="U2:U19" si="9">Q2</f>
        <v>Fur/Feathers</v>
      </c>
      <c r="V2" s="315" t="str">
        <f t="shared" ref="V2:V19" si="10">Q2</f>
        <v>Fur/Feathers</v>
      </c>
      <c r="W2" s="313" t="s">
        <v>633</v>
      </c>
      <c r="X2" s="313" t="s">
        <v>2493</v>
      </c>
      <c r="Y2" s="313" t="s">
        <v>807</v>
      </c>
      <c r="Z2" s="313"/>
      <c r="AA2" s="313"/>
      <c r="AB2" s="313"/>
      <c r="AC2" s="313"/>
      <c r="AD2" s="315">
        <f>IF(BG2="Formidable",20,IF(BG2="Easy",15,IF(BG2="Routine",10,IF(BG2="Difficult",5))))</f>
        <v>5</v>
      </c>
      <c r="AE2" s="315">
        <f t="shared" ref="AE2:AE19" si="11">AD2</f>
        <v>5</v>
      </c>
      <c r="AF2" s="313"/>
      <c r="AG2" s="313"/>
      <c r="AH2" s="313"/>
      <c r="AI2" s="313"/>
      <c r="AJ2" s="313"/>
      <c r="AK2" s="313"/>
      <c r="AL2" s="313"/>
      <c r="AM2" s="313"/>
      <c r="AN2" s="313"/>
      <c r="AO2" s="313"/>
      <c r="AP2" s="313"/>
      <c r="AQ2" s="313"/>
      <c r="AR2" s="313"/>
      <c r="AS2" s="313"/>
      <c r="AT2" s="313"/>
      <c r="AU2" s="313"/>
      <c r="AV2" s="313"/>
      <c r="AX2" s="315">
        <f t="shared" ref="AX2:AX19" si="12">BI2</f>
        <v>100</v>
      </c>
      <c r="AY2" s="315" t="str">
        <f t="shared" ref="AY2:AY19" si="13">BP2</f>
        <v>Yes</v>
      </c>
      <c r="AZ2" s="313" t="s">
        <v>914</v>
      </c>
      <c r="BA2" s="313" t="s">
        <v>915</v>
      </c>
      <c r="BB2" s="313" t="s">
        <v>916</v>
      </c>
      <c r="BC2" s="313" t="s">
        <v>520</v>
      </c>
      <c r="BD2" s="315" t="s">
        <v>579</v>
      </c>
      <c r="BE2" s="313" t="s">
        <v>796</v>
      </c>
      <c r="BF2" s="315">
        <v>2</v>
      </c>
      <c r="BG2" s="313" t="s">
        <v>694</v>
      </c>
      <c r="BH2" s="313">
        <v>1</v>
      </c>
      <c r="BI2" s="313">
        <v>100</v>
      </c>
      <c r="BJ2" s="317" t="s">
        <v>2437</v>
      </c>
      <c r="BK2" s="313">
        <v>-6</v>
      </c>
      <c r="BL2" s="313">
        <v>1</v>
      </c>
      <c r="BM2" s="313">
        <v>1</v>
      </c>
      <c r="BN2" s="313">
        <v>0</v>
      </c>
      <c r="BO2" s="313" t="s">
        <v>515</v>
      </c>
      <c r="BP2" s="313" t="s">
        <v>577</v>
      </c>
      <c r="BR2" s="313" t="s">
        <v>808</v>
      </c>
      <c r="BS2" s="315" t="s">
        <v>519</v>
      </c>
      <c r="BT2" s="315" t="s">
        <v>516</v>
      </c>
      <c r="BU2" s="315">
        <v>3</v>
      </c>
      <c r="BV2" s="315" t="s">
        <v>694</v>
      </c>
      <c r="BW2" s="315">
        <v>-2</v>
      </c>
      <c r="BX2" s="315">
        <v>1</v>
      </c>
      <c r="BY2" s="315">
        <v>1</v>
      </c>
      <c r="BZ2" s="315">
        <v>0</v>
      </c>
      <c r="CA2" s="315">
        <v>0</v>
      </c>
      <c r="CB2" s="315">
        <v>0</v>
      </c>
      <c r="CC2" s="315">
        <v>1</v>
      </c>
    </row>
    <row r="3" spans="1:92">
      <c r="A3" s="313" t="s">
        <v>578</v>
      </c>
      <c r="B3" s="315" t="str">
        <f t="shared" si="0"/>
        <v>10% of Flock</v>
      </c>
      <c r="C3" s="313" t="str">
        <f t="shared" si="1"/>
        <v>Herbivore</v>
      </c>
      <c r="D3" s="313" t="str">
        <f t="shared" si="2"/>
        <v>Aggressive</v>
      </c>
      <c r="E3" s="315">
        <v>0</v>
      </c>
      <c r="F3" s="315">
        <v>0</v>
      </c>
      <c r="G3" s="315">
        <v>0</v>
      </c>
      <c r="H3" s="315">
        <v>0</v>
      </c>
      <c r="I3" s="315">
        <v>0</v>
      </c>
      <c r="J3" s="315">
        <v>0</v>
      </c>
      <c r="K3" s="315">
        <v>0</v>
      </c>
      <c r="L3" s="315">
        <v>0</v>
      </c>
      <c r="M3" s="315">
        <f>IF(C3="Carnivore",15,10)</f>
        <v>10</v>
      </c>
      <c r="N3" s="315">
        <v>0</v>
      </c>
      <c r="O3" s="315">
        <f t="shared" si="3"/>
        <v>7</v>
      </c>
      <c r="P3" s="315">
        <f t="shared" si="4"/>
        <v>-9</v>
      </c>
      <c r="Q3" s="315" t="str">
        <f t="shared" si="5"/>
        <v>Fur/Feathers</v>
      </c>
      <c r="R3" s="315" t="str">
        <f t="shared" si="6"/>
        <v>Fur/Feathers</v>
      </c>
      <c r="S3" s="315" t="str">
        <f t="shared" si="7"/>
        <v>Fur/Feathers</v>
      </c>
      <c r="T3" s="315" t="str">
        <f t="shared" si="8"/>
        <v>Fur/Feathers</v>
      </c>
      <c r="U3" s="315" t="str">
        <f t="shared" si="9"/>
        <v>Fur/Feathers</v>
      </c>
      <c r="V3" s="315" t="str">
        <f t="shared" si="10"/>
        <v>Fur/Feathers</v>
      </c>
      <c r="W3" s="313" t="s">
        <v>634</v>
      </c>
      <c r="X3" s="313" t="s">
        <v>2493</v>
      </c>
      <c r="Y3" s="313" t="s">
        <v>807</v>
      </c>
      <c r="Z3" s="313"/>
      <c r="AA3" s="313"/>
      <c r="AB3" s="313"/>
      <c r="AC3" s="313"/>
      <c r="AD3" s="315">
        <f t="shared" ref="AD3:AD66" si="14">IF(BG3="Formidable",20,IF(BG3="Easy",15,IF(BG3="Routine",10,IF(BG3="Difficult",5))))</f>
        <v>10</v>
      </c>
      <c r="AE3" s="315">
        <f t="shared" si="11"/>
        <v>10</v>
      </c>
      <c r="AF3" s="313"/>
      <c r="AG3" s="313"/>
      <c r="AH3" s="313"/>
      <c r="AI3" s="313"/>
      <c r="AJ3" s="313"/>
      <c r="AK3" s="313"/>
      <c r="AL3" s="313"/>
      <c r="AM3" s="313"/>
      <c r="AN3" s="313"/>
      <c r="AO3" s="313"/>
      <c r="AP3" s="313"/>
      <c r="AQ3" s="313"/>
      <c r="AR3" s="313"/>
      <c r="AS3" s="313"/>
      <c r="AT3" s="313"/>
      <c r="AU3" s="313"/>
      <c r="AV3" s="313"/>
      <c r="AX3" s="315">
        <f t="shared" si="12"/>
        <v>100</v>
      </c>
      <c r="AY3" s="315" t="str">
        <f t="shared" si="13"/>
        <v>Yes</v>
      </c>
      <c r="AZ3" s="313" t="s">
        <v>914</v>
      </c>
      <c r="BA3" s="313" t="s">
        <v>915</v>
      </c>
      <c r="BB3" s="313" t="s">
        <v>578</v>
      </c>
      <c r="BC3" s="313" t="s">
        <v>802</v>
      </c>
      <c r="BD3" s="315" t="s">
        <v>671</v>
      </c>
      <c r="BE3" s="313" t="s">
        <v>797</v>
      </c>
      <c r="BF3" s="315">
        <v>7</v>
      </c>
      <c r="BG3" s="313" t="s">
        <v>517</v>
      </c>
      <c r="BH3" s="313">
        <v>1.5</v>
      </c>
      <c r="BI3" s="313">
        <v>100</v>
      </c>
      <c r="BJ3" s="317" t="s">
        <v>2437</v>
      </c>
      <c r="BK3" s="313">
        <v>-6</v>
      </c>
      <c r="BL3" s="313">
        <v>1</v>
      </c>
      <c r="BM3" s="313">
        <v>1</v>
      </c>
      <c r="BN3" s="313">
        <v>10</v>
      </c>
      <c r="BO3" s="313" t="s">
        <v>515</v>
      </c>
      <c r="BP3" s="313" t="s">
        <v>577</v>
      </c>
      <c r="BR3" s="313" t="s">
        <v>809</v>
      </c>
      <c r="BS3" s="315" t="s">
        <v>520</v>
      </c>
      <c r="BT3" s="315" t="s">
        <v>693</v>
      </c>
      <c r="BU3" s="315">
        <v>2</v>
      </c>
      <c r="BV3" s="315" t="s">
        <v>694</v>
      </c>
      <c r="BW3" s="315">
        <v>0</v>
      </c>
      <c r="BX3" s="315">
        <v>1</v>
      </c>
      <c r="BY3" s="315">
        <v>1</v>
      </c>
      <c r="BZ3" s="315">
        <v>0</v>
      </c>
      <c r="CA3" s="315">
        <v>0</v>
      </c>
      <c r="CB3" s="315">
        <v>0</v>
      </c>
      <c r="CC3" s="315">
        <v>0</v>
      </c>
    </row>
    <row r="4" spans="1:92">
      <c r="A4" s="313" t="s">
        <v>913</v>
      </c>
      <c r="B4" s="315">
        <f t="shared" si="0"/>
        <v>1</v>
      </c>
      <c r="C4" s="313" t="str">
        <f t="shared" si="1"/>
        <v>Carnivore</v>
      </c>
      <c r="D4" s="313" t="str">
        <f t="shared" si="2"/>
        <v>Ferocious</v>
      </c>
      <c r="E4" s="315">
        <v>0</v>
      </c>
      <c r="F4" s="315">
        <v>0</v>
      </c>
      <c r="G4" s="315">
        <v>0</v>
      </c>
      <c r="H4" s="315">
        <v>0</v>
      </c>
      <c r="I4" s="315">
        <v>0</v>
      </c>
      <c r="J4" s="315">
        <v>0</v>
      </c>
      <c r="K4" s="315">
        <v>0</v>
      </c>
      <c r="L4" s="315">
        <v>0</v>
      </c>
      <c r="M4" s="315">
        <f>IF(C4="Carnivore",15,10)</f>
        <v>15</v>
      </c>
      <c r="N4" s="315">
        <v>0</v>
      </c>
      <c r="O4" s="315">
        <f t="shared" si="3"/>
        <v>10</v>
      </c>
      <c r="P4" s="315">
        <f t="shared" si="4"/>
        <v>-8</v>
      </c>
      <c r="Q4" s="315" t="str">
        <f t="shared" si="5"/>
        <v>Fur/Feathers</v>
      </c>
      <c r="R4" s="315" t="str">
        <f t="shared" si="6"/>
        <v>Fur/Feathers</v>
      </c>
      <c r="S4" s="315" t="str">
        <f t="shared" si="7"/>
        <v>Fur/Feathers</v>
      </c>
      <c r="T4" s="315" t="str">
        <f t="shared" si="8"/>
        <v>Fur/Feathers</v>
      </c>
      <c r="U4" s="315" t="str">
        <f t="shared" si="9"/>
        <v>Fur/Feathers</v>
      </c>
      <c r="V4" s="315" t="str">
        <f t="shared" si="10"/>
        <v>Fur/Feathers</v>
      </c>
      <c r="W4" s="313" t="s">
        <v>635</v>
      </c>
      <c r="X4" s="313" t="s">
        <v>2377</v>
      </c>
      <c r="Y4" s="313" t="s">
        <v>480</v>
      </c>
      <c r="Z4" s="313"/>
      <c r="AA4" s="313"/>
      <c r="AB4" s="313"/>
      <c r="AC4" s="313"/>
      <c r="AD4" s="315">
        <f t="shared" si="14"/>
        <v>15</v>
      </c>
      <c r="AE4" s="315">
        <f t="shared" si="11"/>
        <v>15</v>
      </c>
      <c r="AF4" s="313"/>
      <c r="AG4" s="313"/>
      <c r="AH4" s="313"/>
      <c r="AI4" s="313"/>
      <c r="AJ4" s="313"/>
      <c r="AK4" s="313"/>
      <c r="AL4" s="313"/>
      <c r="AM4" s="313"/>
      <c r="AN4" s="313"/>
      <c r="AO4" s="313"/>
      <c r="AP4" s="313"/>
      <c r="AQ4" s="313"/>
      <c r="AR4" s="313"/>
      <c r="AS4" s="313"/>
      <c r="AT4" s="313"/>
      <c r="AU4" s="313"/>
      <c r="AV4" s="313"/>
      <c r="AX4" s="315">
        <f t="shared" si="12"/>
        <v>90</v>
      </c>
      <c r="AY4" s="315">
        <f t="shared" si="13"/>
        <v>0</v>
      </c>
      <c r="AZ4" s="313" t="s">
        <v>914</v>
      </c>
      <c r="BA4" s="313" t="s">
        <v>915</v>
      </c>
      <c r="BB4" s="313" t="s">
        <v>913</v>
      </c>
      <c r="BC4" s="313" t="s">
        <v>803</v>
      </c>
      <c r="BD4" s="315">
        <v>1</v>
      </c>
      <c r="BE4" s="313" t="s">
        <v>798</v>
      </c>
      <c r="BF4" s="315">
        <v>10</v>
      </c>
      <c r="BG4" s="313" t="s">
        <v>523</v>
      </c>
      <c r="BH4" s="313">
        <v>8</v>
      </c>
      <c r="BI4" s="313">
        <v>90</v>
      </c>
      <c r="BJ4" s="317" t="s">
        <v>2437</v>
      </c>
      <c r="BK4" s="313">
        <v>0</v>
      </c>
      <c r="BL4" s="313">
        <v>1</v>
      </c>
      <c r="BM4" s="313">
        <v>3</v>
      </c>
      <c r="BN4" s="313">
        <v>20</v>
      </c>
      <c r="BO4" s="313" t="s">
        <v>515</v>
      </c>
      <c r="BP4" s="313"/>
      <c r="BR4" s="313" t="s">
        <v>810</v>
      </c>
      <c r="BS4" s="315" t="s">
        <v>521</v>
      </c>
      <c r="BT4" s="315" t="s">
        <v>695</v>
      </c>
      <c r="BU4" s="315">
        <v>6</v>
      </c>
      <c r="BV4" s="315" t="s">
        <v>517</v>
      </c>
      <c r="BW4" s="315">
        <v>-1</v>
      </c>
      <c r="BX4" s="315">
        <v>-2</v>
      </c>
      <c r="BY4" s="315">
        <v>-2</v>
      </c>
      <c r="BZ4" s="315">
        <v>0</v>
      </c>
      <c r="CA4" s="315">
        <v>0</v>
      </c>
      <c r="CB4" s="315">
        <v>0</v>
      </c>
      <c r="CC4" s="315">
        <v>0</v>
      </c>
    </row>
    <row r="5" spans="1:92">
      <c r="A5" s="313" t="s">
        <v>551</v>
      </c>
      <c r="B5" s="315" t="str">
        <f t="shared" si="0"/>
        <v>1D4</v>
      </c>
      <c r="C5" s="313" t="str">
        <f t="shared" si="1"/>
        <v>Carnivore</v>
      </c>
      <c r="D5" s="313" t="str">
        <f t="shared" si="2"/>
        <v>Aggressive</v>
      </c>
      <c r="E5" s="315">
        <v>0</v>
      </c>
      <c r="F5" s="315">
        <v>0</v>
      </c>
      <c r="G5" s="315">
        <v>0</v>
      </c>
      <c r="H5" s="315">
        <v>0</v>
      </c>
      <c r="I5" s="315">
        <v>0</v>
      </c>
      <c r="J5" s="315">
        <v>0</v>
      </c>
      <c r="K5" s="315">
        <v>0</v>
      </c>
      <c r="L5" s="315">
        <v>0</v>
      </c>
      <c r="M5" s="315">
        <f>IF(C5="Carnivore",15,10)</f>
        <v>15</v>
      </c>
      <c r="N5" s="315">
        <v>0</v>
      </c>
      <c r="O5" s="315">
        <f t="shared" si="3"/>
        <v>1</v>
      </c>
      <c r="P5" s="315">
        <f t="shared" si="4"/>
        <v>-3</v>
      </c>
      <c r="Q5" s="315" t="str">
        <f t="shared" si="5"/>
        <v>Light Hide</v>
      </c>
      <c r="R5" s="315" t="str">
        <f t="shared" si="6"/>
        <v>Light Hide</v>
      </c>
      <c r="S5" s="315" t="str">
        <f t="shared" si="7"/>
        <v>Light Hide</v>
      </c>
      <c r="T5" s="315" t="str">
        <f t="shared" si="8"/>
        <v>Light Hide</v>
      </c>
      <c r="U5" s="315" t="str">
        <f t="shared" si="9"/>
        <v>Light Hide</v>
      </c>
      <c r="V5" s="315" t="str">
        <f t="shared" si="10"/>
        <v>Light Hide</v>
      </c>
      <c r="W5" s="313" t="s">
        <v>546</v>
      </c>
      <c r="X5" s="313" t="s">
        <v>2493</v>
      </c>
      <c r="Y5" s="313" t="s">
        <v>2493</v>
      </c>
      <c r="Z5" s="313" t="s">
        <v>2377</v>
      </c>
      <c r="AA5" s="313"/>
      <c r="AB5" s="313"/>
      <c r="AC5" s="313"/>
      <c r="AD5" s="315">
        <f t="shared" si="14"/>
        <v>10</v>
      </c>
      <c r="AE5" s="315">
        <f t="shared" si="11"/>
        <v>10</v>
      </c>
      <c r="AF5" s="313"/>
      <c r="AG5" s="313"/>
      <c r="AH5" s="313"/>
      <c r="AI5" s="313"/>
      <c r="AJ5" s="313"/>
      <c r="AK5" s="313"/>
      <c r="AL5" s="313"/>
      <c r="AM5" s="313"/>
      <c r="AN5" s="313"/>
      <c r="AO5" s="313"/>
      <c r="AP5" s="313"/>
      <c r="AQ5" s="313"/>
      <c r="AR5" s="313"/>
      <c r="AS5" s="313"/>
      <c r="AT5" s="313"/>
      <c r="AU5" s="313"/>
      <c r="AV5" s="313"/>
      <c r="AX5" s="315">
        <f t="shared" si="12"/>
        <v>100</v>
      </c>
      <c r="AY5" s="315">
        <f t="shared" si="13"/>
        <v>0</v>
      </c>
      <c r="AZ5" s="313" t="s">
        <v>552</v>
      </c>
      <c r="BA5" s="313" t="s">
        <v>553</v>
      </c>
      <c r="BB5" s="313" t="s">
        <v>551</v>
      </c>
      <c r="BC5" s="313" t="s">
        <v>804</v>
      </c>
      <c r="BD5" s="315" t="s">
        <v>672</v>
      </c>
      <c r="BE5" s="313" t="s">
        <v>797</v>
      </c>
      <c r="BF5" s="315">
        <v>1</v>
      </c>
      <c r="BG5" s="313" t="s">
        <v>517</v>
      </c>
      <c r="BH5" s="313">
        <v>20</v>
      </c>
      <c r="BI5" s="313">
        <v>100</v>
      </c>
      <c r="BJ5" s="313" t="s">
        <v>2395</v>
      </c>
      <c r="BK5" s="313">
        <v>-3</v>
      </c>
      <c r="BL5" s="313">
        <v>1</v>
      </c>
      <c r="BM5" s="313">
        <v>2</v>
      </c>
      <c r="BN5" s="313">
        <v>20</v>
      </c>
      <c r="BO5" s="313">
        <v>-6</v>
      </c>
      <c r="BP5" s="313"/>
      <c r="BR5" s="313" t="s">
        <v>686</v>
      </c>
      <c r="BS5" s="315" t="s">
        <v>519</v>
      </c>
      <c r="BT5" s="315" t="s">
        <v>693</v>
      </c>
      <c r="BU5" s="315">
        <v>4</v>
      </c>
      <c r="BV5" s="315" t="s">
        <v>517</v>
      </c>
      <c r="BW5" s="315">
        <v>1</v>
      </c>
      <c r="BX5" s="315">
        <v>0</v>
      </c>
      <c r="BY5" s="315">
        <v>1</v>
      </c>
      <c r="BZ5" s="315">
        <v>0</v>
      </c>
      <c r="CA5" s="315">
        <v>0</v>
      </c>
      <c r="CB5" s="315">
        <v>0</v>
      </c>
      <c r="CC5" s="315">
        <v>0</v>
      </c>
    </row>
    <row r="6" spans="1:92">
      <c r="A6" s="313" t="s">
        <v>2192</v>
      </c>
      <c r="B6" s="315" t="str">
        <f t="shared" si="0"/>
        <v>1D6</v>
      </c>
      <c r="C6" s="313" t="str">
        <f t="shared" si="1"/>
        <v>Carnivore</v>
      </c>
      <c r="D6" s="313" t="str">
        <f t="shared" si="2"/>
        <v>Aggressive</v>
      </c>
      <c r="E6" s="315">
        <v>0</v>
      </c>
      <c r="F6" s="315">
        <v>0</v>
      </c>
      <c r="G6" s="315">
        <v>3</v>
      </c>
      <c r="H6" s="315">
        <v>0</v>
      </c>
      <c r="I6" s="315">
        <v>0</v>
      </c>
      <c r="J6" s="315">
        <v>0</v>
      </c>
      <c r="K6" s="315">
        <v>0</v>
      </c>
      <c r="L6" s="315">
        <v>0</v>
      </c>
      <c r="M6" s="315">
        <v>15</v>
      </c>
      <c r="N6" s="315">
        <v>3</v>
      </c>
      <c r="O6" s="315">
        <f t="shared" si="3"/>
        <v>3</v>
      </c>
      <c r="P6" s="315">
        <f t="shared" si="4"/>
        <v>-5</v>
      </c>
      <c r="Q6" s="315" t="str">
        <f t="shared" si="5"/>
        <v>Fur/Feathers</v>
      </c>
      <c r="R6" s="315" t="str">
        <f t="shared" si="6"/>
        <v>Fur/Feathers</v>
      </c>
      <c r="S6" s="315" t="str">
        <f t="shared" si="7"/>
        <v>Fur/Feathers</v>
      </c>
      <c r="T6" s="315" t="str">
        <f t="shared" si="8"/>
        <v>Fur/Feathers</v>
      </c>
      <c r="U6" s="315" t="str">
        <f t="shared" si="9"/>
        <v>Fur/Feathers</v>
      </c>
      <c r="V6" s="315" t="str">
        <f t="shared" si="10"/>
        <v>Fur/Feathers</v>
      </c>
      <c r="W6" s="313" t="s">
        <v>547</v>
      </c>
      <c r="X6" s="313" t="s">
        <v>2493</v>
      </c>
      <c r="Y6" s="313" t="s">
        <v>2493</v>
      </c>
      <c r="Z6" s="313" t="s">
        <v>2377</v>
      </c>
      <c r="AA6" s="313"/>
      <c r="AB6" s="313"/>
      <c r="AC6" s="313"/>
      <c r="AD6" s="315">
        <f t="shared" si="14"/>
        <v>10</v>
      </c>
      <c r="AE6" s="315">
        <f t="shared" si="11"/>
        <v>10</v>
      </c>
      <c r="AF6" s="313"/>
      <c r="AG6" s="313"/>
      <c r="AH6" s="313"/>
      <c r="AI6" s="313"/>
      <c r="AJ6" s="313"/>
      <c r="AK6" s="313"/>
      <c r="AL6" s="313"/>
      <c r="AM6" s="313"/>
      <c r="AN6" s="313" t="s">
        <v>1223</v>
      </c>
      <c r="AO6" s="313">
        <v>5</v>
      </c>
      <c r="AP6" s="313" t="s">
        <v>2494</v>
      </c>
      <c r="AQ6" s="313">
        <v>6</v>
      </c>
      <c r="AR6" s="313" t="s">
        <v>2397</v>
      </c>
      <c r="AS6" s="313">
        <v>2</v>
      </c>
      <c r="AT6" s="313"/>
      <c r="AU6" s="313"/>
      <c r="AV6" s="313"/>
      <c r="AX6" s="315">
        <f t="shared" si="12"/>
        <v>90</v>
      </c>
      <c r="AY6" s="315">
        <f t="shared" si="13"/>
        <v>0</v>
      </c>
      <c r="AZ6" s="313" t="s">
        <v>2193</v>
      </c>
      <c r="BA6" s="313" t="s">
        <v>2335</v>
      </c>
      <c r="BB6" s="313" t="s">
        <v>2192</v>
      </c>
      <c r="BC6" s="313" t="s">
        <v>535</v>
      </c>
      <c r="BD6" s="315" t="s">
        <v>536</v>
      </c>
      <c r="BE6" s="313" t="s">
        <v>797</v>
      </c>
      <c r="BF6" s="315">
        <v>3</v>
      </c>
      <c r="BG6" s="313" t="s">
        <v>537</v>
      </c>
      <c r="BH6" s="313">
        <v>18</v>
      </c>
      <c r="BI6" s="313">
        <v>90</v>
      </c>
      <c r="BJ6" s="317" t="s">
        <v>2437</v>
      </c>
      <c r="BK6" s="313">
        <v>0</v>
      </c>
      <c r="BL6" s="313">
        <v>1</v>
      </c>
      <c r="BM6" s="313">
        <v>2</v>
      </c>
      <c r="BN6" s="313">
        <v>10</v>
      </c>
      <c r="BO6" s="313">
        <v>0</v>
      </c>
      <c r="BP6" s="313"/>
      <c r="BR6" s="313" t="s">
        <v>687</v>
      </c>
      <c r="BS6" s="315" t="s">
        <v>521</v>
      </c>
      <c r="BT6" s="315">
        <v>1</v>
      </c>
      <c r="BU6" s="315">
        <v>5</v>
      </c>
      <c r="BV6" s="315" t="s">
        <v>523</v>
      </c>
      <c r="BW6" s="315">
        <v>0</v>
      </c>
      <c r="BX6" s="315">
        <v>-1</v>
      </c>
      <c r="BY6" s="315">
        <v>-1</v>
      </c>
      <c r="BZ6" s="315">
        <v>0</v>
      </c>
      <c r="CA6" s="315">
        <v>0</v>
      </c>
      <c r="CB6" s="315">
        <v>0</v>
      </c>
      <c r="CC6" s="315">
        <v>0</v>
      </c>
    </row>
    <row r="7" spans="1:92">
      <c r="A7" s="313" t="s">
        <v>884</v>
      </c>
      <c r="B7" s="315">
        <f t="shared" si="0"/>
        <v>1</v>
      </c>
      <c r="C7" s="313" t="str">
        <f t="shared" si="1"/>
        <v>Carnivore</v>
      </c>
      <c r="D7" s="313" t="str">
        <f t="shared" si="2"/>
        <v>Aggressive</v>
      </c>
      <c r="E7" s="315">
        <v>1</v>
      </c>
      <c r="F7" s="315">
        <v>0</v>
      </c>
      <c r="G7" s="315">
        <v>-1</v>
      </c>
      <c r="H7" s="315">
        <v>0</v>
      </c>
      <c r="I7" s="315">
        <v>0</v>
      </c>
      <c r="J7" s="315">
        <v>0</v>
      </c>
      <c r="K7" s="315">
        <v>0</v>
      </c>
      <c r="L7" s="315">
        <v>0</v>
      </c>
      <c r="M7" s="315">
        <v>15</v>
      </c>
      <c r="N7" s="315">
        <v>0</v>
      </c>
      <c r="O7" s="315">
        <f t="shared" si="3"/>
        <v>1</v>
      </c>
      <c r="P7" s="315">
        <f t="shared" si="4"/>
        <v>1</v>
      </c>
      <c r="Q7" s="315" t="str">
        <f t="shared" si="5"/>
        <v>Skin</v>
      </c>
      <c r="R7" s="315" t="str">
        <f t="shared" si="6"/>
        <v>Skin</v>
      </c>
      <c r="S7" s="315" t="str">
        <f t="shared" si="7"/>
        <v>Skin</v>
      </c>
      <c r="T7" s="315" t="str">
        <f t="shared" si="8"/>
        <v>Skin</v>
      </c>
      <c r="U7" s="315" t="str">
        <f t="shared" si="9"/>
        <v>Skin</v>
      </c>
      <c r="V7" s="315" t="str">
        <f t="shared" si="10"/>
        <v>Skin</v>
      </c>
      <c r="W7" s="313" t="s">
        <v>548</v>
      </c>
      <c r="X7" s="313" t="s">
        <v>1675</v>
      </c>
      <c r="Y7" s="313"/>
      <c r="Z7" s="313"/>
      <c r="AA7" s="313"/>
      <c r="AB7" s="313"/>
      <c r="AC7" s="313"/>
      <c r="AD7" s="315">
        <f t="shared" si="14"/>
        <v>10</v>
      </c>
      <c r="AE7" s="315">
        <f t="shared" si="11"/>
        <v>10</v>
      </c>
      <c r="AF7" s="313"/>
      <c r="AG7" s="313"/>
      <c r="AH7" s="313" t="s">
        <v>2471</v>
      </c>
      <c r="AI7" s="313"/>
      <c r="AJ7" s="313"/>
      <c r="AK7" s="313"/>
      <c r="AL7" s="313"/>
      <c r="AM7" s="313"/>
      <c r="AN7" s="313" t="s">
        <v>2470</v>
      </c>
      <c r="AO7" s="313">
        <v>5</v>
      </c>
      <c r="AP7" s="313" t="s">
        <v>2494</v>
      </c>
      <c r="AQ7" s="313">
        <v>5</v>
      </c>
      <c r="AR7" s="313"/>
      <c r="AS7" s="313"/>
      <c r="AT7" s="313"/>
      <c r="AU7" s="313"/>
      <c r="AV7" s="313"/>
      <c r="AX7" s="315">
        <f t="shared" si="12"/>
        <v>50</v>
      </c>
      <c r="AY7" s="315">
        <f t="shared" si="13"/>
        <v>0</v>
      </c>
      <c r="AZ7" s="313" t="s">
        <v>885</v>
      </c>
      <c r="BA7" s="313" t="s">
        <v>886</v>
      </c>
      <c r="BB7" s="313" t="s">
        <v>884</v>
      </c>
      <c r="BC7" s="313" t="s">
        <v>803</v>
      </c>
      <c r="BD7" s="315">
        <v>1</v>
      </c>
      <c r="BE7" s="313" t="s">
        <v>2469</v>
      </c>
      <c r="BF7" s="315">
        <v>1</v>
      </c>
      <c r="BG7" s="313" t="s">
        <v>2392</v>
      </c>
      <c r="BH7" s="313">
        <v>100</v>
      </c>
      <c r="BI7" s="313">
        <v>50</v>
      </c>
      <c r="BJ7" s="313" t="s">
        <v>2232</v>
      </c>
      <c r="BK7" s="313">
        <v>0</v>
      </c>
      <c r="BL7" s="313">
        <v>1</v>
      </c>
      <c r="BM7" s="313">
        <v>3</v>
      </c>
      <c r="BN7" s="313">
        <v>20</v>
      </c>
      <c r="BO7" s="313">
        <v>0</v>
      </c>
      <c r="BP7" s="313"/>
      <c r="BR7" s="313" t="s">
        <v>691</v>
      </c>
      <c r="BS7" s="315" t="s">
        <v>521</v>
      </c>
      <c r="BT7" s="315">
        <v>1</v>
      </c>
      <c r="BU7" s="315">
        <v>7</v>
      </c>
      <c r="BV7" s="315" t="s">
        <v>517</v>
      </c>
      <c r="BW7" s="315">
        <v>2</v>
      </c>
      <c r="BX7" s="315">
        <v>-2</v>
      </c>
      <c r="BY7" s="315">
        <v>-1</v>
      </c>
      <c r="BZ7" s="315">
        <v>0</v>
      </c>
      <c r="CA7" s="315">
        <v>0</v>
      </c>
      <c r="CB7" s="315">
        <v>0</v>
      </c>
      <c r="CC7" s="315">
        <v>0</v>
      </c>
    </row>
    <row r="8" spans="1:92">
      <c r="A8" s="313" t="s">
        <v>2194</v>
      </c>
      <c r="B8" s="315" t="str">
        <f t="shared" si="0"/>
        <v>2D6</v>
      </c>
      <c r="C8" s="313" t="str">
        <f t="shared" si="1"/>
        <v>Carnivore</v>
      </c>
      <c r="D8" s="313" t="str">
        <f t="shared" si="2"/>
        <v>Ferocious</v>
      </c>
      <c r="E8" s="315">
        <v>12</v>
      </c>
      <c r="F8" s="315">
        <v>0</v>
      </c>
      <c r="G8" s="315">
        <v>3</v>
      </c>
      <c r="H8" s="315">
        <v>0</v>
      </c>
      <c r="I8" s="315">
        <v>0</v>
      </c>
      <c r="J8" s="315">
        <v>0</v>
      </c>
      <c r="K8" s="315">
        <v>0</v>
      </c>
      <c r="L8" s="315">
        <v>0</v>
      </c>
      <c r="M8" s="315">
        <v>15</v>
      </c>
      <c r="N8" s="315">
        <v>3</v>
      </c>
      <c r="O8" s="315">
        <f t="shared" si="3"/>
        <v>3</v>
      </c>
      <c r="P8" s="315">
        <f t="shared" si="4"/>
        <v>4</v>
      </c>
      <c r="Q8" s="315" t="str">
        <f t="shared" si="5"/>
        <v>Fur/Feathers</v>
      </c>
      <c r="R8" s="315" t="str">
        <f t="shared" si="6"/>
        <v>Fur/Feathers</v>
      </c>
      <c r="S8" s="315" t="str">
        <f t="shared" si="7"/>
        <v>Fur/Feathers</v>
      </c>
      <c r="T8" s="315" t="str">
        <f t="shared" si="8"/>
        <v>Fur/Feathers</v>
      </c>
      <c r="U8" s="315" t="str">
        <f t="shared" si="9"/>
        <v>Fur/Feathers</v>
      </c>
      <c r="V8" s="315" t="str">
        <f t="shared" si="10"/>
        <v>Fur/Feathers</v>
      </c>
      <c r="W8" s="313" t="s">
        <v>549</v>
      </c>
      <c r="X8" s="313" t="s">
        <v>2399</v>
      </c>
      <c r="Y8" s="313" t="s">
        <v>2400</v>
      </c>
      <c r="Z8" s="313"/>
      <c r="AA8" s="313"/>
      <c r="AB8" s="313"/>
      <c r="AC8" s="313"/>
      <c r="AD8" s="315">
        <f t="shared" si="14"/>
        <v>15</v>
      </c>
      <c r="AE8" s="315">
        <f t="shared" si="11"/>
        <v>15</v>
      </c>
      <c r="AF8" s="313"/>
      <c r="AG8" s="313"/>
      <c r="AH8" s="313"/>
      <c r="AI8" s="313"/>
      <c r="AJ8" s="313"/>
      <c r="AK8" s="313"/>
      <c r="AL8" s="313"/>
      <c r="AM8" s="313"/>
      <c r="AN8" s="313" t="s">
        <v>2494</v>
      </c>
      <c r="AO8" s="313">
        <v>5</v>
      </c>
      <c r="AP8" s="313"/>
      <c r="AQ8" s="313"/>
      <c r="AR8" s="313"/>
      <c r="AS8" s="313"/>
      <c r="AT8" s="313"/>
      <c r="AU8" s="313"/>
      <c r="AV8" s="313"/>
      <c r="AX8" s="315">
        <f t="shared" si="12"/>
        <v>100</v>
      </c>
      <c r="AY8" s="315">
        <f t="shared" si="13"/>
        <v>0</v>
      </c>
      <c r="AZ8" s="313" t="s">
        <v>2195</v>
      </c>
      <c r="BA8" s="313" t="s">
        <v>2196</v>
      </c>
      <c r="BB8" s="313" t="s">
        <v>2194</v>
      </c>
      <c r="BC8" s="313" t="s">
        <v>2398</v>
      </c>
      <c r="BD8" s="315" t="s">
        <v>2401</v>
      </c>
      <c r="BE8" s="313" t="s">
        <v>2402</v>
      </c>
      <c r="BF8" s="315">
        <v>3</v>
      </c>
      <c r="BG8" s="313" t="s">
        <v>2403</v>
      </c>
      <c r="BH8" s="313">
        <v>3200</v>
      </c>
      <c r="BI8" s="313">
        <v>100</v>
      </c>
      <c r="BJ8" s="317" t="s">
        <v>2437</v>
      </c>
      <c r="BK8" s="313">
        <v>6</v>
      </c>
      <c r="BL8" s="313">
        <v>1</v>
      </c>
      <c r="BM8" s="313">
        <v>6</v>
      </c>
      <c r="BN8" s="313">
        <v>30</v>
      </c>
      <c r="BO8" s="313">
        <v>6</v>
      </c>
      <c r="BP8" s="313"/>
      <c r="BR8" s="313" t="s">
        <v>688</v>
      </c>
      <c r="BS8" s="315" t="s">
        <v>520</v>
      </c>
      <c r="BT8" s="315" t="s">
        <v>522</v>
      </c>
      <c r="BU8" s="315">
        <v>2</v>
      </c>
      <c r="BV8" s="315" t="s">
        <v>694</v>
      </c>
      <c r="BW8" s="315">
        <v>0</v>
      </c>
      <c r="BX8" s="315">
        <v>-2</v>
      </c>
      <c r="BY8" s="315">
        <v>1</v>
      </c>
      <c r="BZ8" s="315">
        <v>0</v>
      </c>
      <c r="CA8" s="315">
        <v>0</v>
      </c>
      <c r="CB8" s="315">
        <v>0</v>
      </c>
      <c r="CC8" s="315">
        <v>-1</v>
      </c>
    </row>
    <row r="9" spans="1:92">
      <c r="A9" s="313" t="s">
        <v>1066</v>
      </c>
      <c r="B9" s="315" t="str">
        <f t="shared" si="0"/>
        <v>1D3</v>
      </c>
      <c r="C9" s="313" t="str">
        <f t="shared" si="1"/>
        <v>Carnivore</v>
      </c>
      <c r="D9" s="313" t="str">
        <f t="shared" si="2"/>
        <v>Ferocious</v>
      </c>
      <c r="E9" s="315">
        <v>9</v>
      </c>
      <c r="F9" s="315">
        <v>0</v>
      </c>
      <c r="G9" s="315">
        <v>0</v>
      </c>
      <c r="H9" s="315">
        <v>0</v>
      </c>
      <c r="I9" s="315">
        <v>0</v>
      </c>
      <c r="J9" s="315">
        <v>0</v>
      </c>
      <c r="K9" s="315">
        <v>0</v>
      </c>
      <c r="L9" s="315">
        <v>0</v>
      </c>
      <c r="M9" s="315">
        <v>15</v>
      </c>
      <c r="N9" s="315">
        <v>0</v>
      </c>
      <c r="O9" s="315">
        <f t="shared" si="3"/>
        <v>1</v>
      </c>
      <c r="P9" s="315">
        <f t="shared" si="4"/>
        <v>3</v>
      </c>
      <c r="Q9" s="315" t="str">
        <f t="shared" si="5"/>
        <v>Scaled Hide</v>
      </c>
      <c r="R9" s="315" t="str">
        <f t="shared" si="6"/>
        <v>Scaled Hide</v>
      </c>
      <c r="S9" s="315" t="str">
        <f t="shared" si="7"/>
        <v>Scaled Hide</v>
      </c>
      <c r="T9" s="315" t="str">
        <f t="shared" si="8"/>
        <v>Scaled Hide</v>
      </c>
      <c r="U9" s="315" t="str">
        <f t="shared" si="9"/>
        <v>Scaled Hide</v>
      </c>
      <c r="V9" s="315" t="str">
        <f t="shared" si="10"/>
        <v>Scaled Hide</v>
      </c>
      <c r="W9" s="313" t="s">
        <v>482</v>
      </c>
      <c r="X9" s="313" t="s">
        <v>2406</v>
      </c>
      <c r="Y9" s="313" t="s">
        <v>2493</v>
      </c>
      <c r="Z9" s="313" t="s">
        <v>2493</v>
      </c>
      <c r="AA9" s="313"/>
      <c r="AB9" s="313"/>
      <c r="AC9" s="313"/>
      <c r="AD9" s="315">
        <f t="shared" si="14"/>
        <v>15</v>
      </c>
      <c r="AE9" s="315">
        <f t="shared" si="11"/>
        <v>15</v>
      </c>
      <c r="AF9" s="313"/>
      <c r="AG9" s="313"/>
      <c r="AH9" s="313" t="s">
        <v>2471</v>
      </c>
      <c r="AI9" s="313" t="s">
        <v>484</v>
      </c>
      <c r="AJ9" s="313"/>
      <c r="AK9" s="313"/>
      <c r="AL9" s="313"/>
      <c r="AM9" s="313"/>
      <c r="AN9" s="313" t="s">
        <v>2494</v>
      </c>
      <c r="AO9" s="313">
        <v>5</v>
      </c>
      <c r="AP9" s="313" t="s">
        <v>2397</v>
      </c>
      <c r="AQ9" s="313">
        <v>6</v>
      </c>
      <c r="AR9" s="313" t="s">
        <v>1223</v>
      </c>
      <c r="AS9" s="313">
        <v>5</v>
      </c>
      <c r="AT9" s="313"/>
      <c r="AU9" s="313"/>
      <c r="AV9" s="313"/>
      <c r="AX9" s="315">
        <f t="shared" si="12"/>
        <v>100</v>
      </c>
      <c r="AY9" s="315">
        <f t="shared" si="13"/>
        <v>0</v>
      </c>
      <c r="AZ9" s="313" t="s">
        <v>1067</v>
      </c>
      <c r="BA9" s="313" t="s">
        <v>767</v>
      </c>
      <c r="BB9" s="313" t="s">
        <v>1066</v>
      </c>
      <c r="BC9" s="313" t="s">
        <v>2398</v>
      </c>
      <c r="BD9" s="315" t="s">
        <v>2404</v>
      </c>
      <c r="BE9" s="313" t="s">
        <v>2402</v>
      </c>
      <c r="BF9" s="315">
        <v>1</v>
      </c>
      <c r="BG9" s="313" t="s">
        <v>2403</v>
      </c>
      <c r="BH9" s="313">
        <v>500</v>
      </c>
      <c r="BI9" s="313">
        <v>100</v>
      </c>
      <c r="BJ9" s="313" t="s">
        <v>2405</v>
      </c>
      <c r="BK9" s="313">
        <v>6</v>
      </c>
      <c r="BL9" s="313">
        <v>1</v>
      </c>
      <c r="BM9" s="313">
        <v>6</v>
      </c>
      <c r="BN9" s="313">
        <v>30</v>
      </c>
      <c r="BO9" s="313">
        <v>3</v>
      </c>
      <c r="BP9" s="313"/>
      <c r="BR9" s="313" t="s">
        <v>689</v>
      </c>
      <c r="BS9" s="315" t="s">
        <v>521</v>
      </c>
      <c r="BT9" s="315">
        <v>1</v>
      </c>
      <c r="BU9" s="315">
        <v>10</v>
      </c>
      <c r="BV9" s="315" t="s">
        <v>523</v>
      </c>
      <c r="BW9" s="315">
        <v>1</v>
      </c>
      <c r="BX9" s="315">
        <v>0</v>
      </c>
      <c r="BY9" s="315">
        <v>1</v>
      </c>
      <c r="BZ9" s="315">
        <v>0</v>
      </c>
      <c r="CA9" s="315">
        <v>0</v>
      </c>
      <c r="CB9" s="315">
        <v>0</v>
      </c>
      <c r="CC9" s="315">
        <v>1</v>
      </c>
    </row>
    <row r="10" spans="1:92">
      <c r="A10" s="313" t="s">
        <v>658</v>
      </c>
      <c r="B10" s="315" t="str">
        <f t="shared" si="0"/>
        <v>1D10</v>
      </c>
      <c r="C10" s="313" t="str">
        <f t="shared" si="1"/>
        <v>Carnivore</v>
      </c>
      <c r="D10" s="313" t="str">
        <f t="shared" si="2"/>
        <v>Ferocious</v>
      </c>
      <c r="E10" s="315">
        <v>6</v>
      </c>
      <c r="F10" s="315">
        <v>0</v>
      </c>
      <c r="G10" s="315">
        <v>0</v>
      </c>
      <c r="H10" s="315">
        <v>0</v>
      </c>
      <c r="I10" s="315">
        <v>0</v>
      </c>
      <c r="J10" s="315">
        <v>0</v>
      </c>
      <c r="K10" s="315">
        <v>0</v>
      </c>
      <c r="L10" s="315">
        <v>0</v>
      </c>
      <c r="M10" s="315">
        <v>15</v>
      </c>
      <c r="N10" s="315">
        <v>0</v>
      </c>
      <c r="O10" s="315">
        <f t="shared" si="3"/>
        <v>1</v>
      </c>
      <c r="P10" s="315">
        <f t="shared" si="4"/>
        <v>5</v>
      </c>
      <c r="Q10" s="315" t="str">
        <f t="shared" si="5"/>
        <v>Skin</v>
      </c>
      <c r="R10" s="315" t="str">
        <f t="shared" si="6"/>
        <v>Skin</v>
      </c>
      <c r="S10" s="315" t="str">
        <f t="shared" si="7"/>
        <v>Skin</v>
      </c>
      <c r="T10" s="315" t="str">
        <f t="shared" si="8"/>
        <v>Skin</v>
      </c>
      <c r="U10" s="315" t="str">
        <f t="shared" si="9"/>
        <v>Skin</v>
      </c>
      <c r="V10" s="315" t="str">
        <f t="shared" si="10"/>
        <v>Skin</v>
      </c>
      <c r="W10" s="313" t="s">
        <v>483</v>
      </c>
      <c r="X10" s="313" t="s">
        <v>1675</v>
      </c>
      <c r="Y10" s="313"/>
      <c r="Z10" s="313"/>
      <c r="AA10" s="313"/>
      <c r="AB10" s="313"/>
      <c r="AC10" s="313"/>
      <c r="AD10" s="315">
        <f t="shared" si="14"/>
        <v>15</v>
      </c>
      <c r="AE10" s="315">
        <f t="shared" si="11"/>
        <v>15</v>
      </c>
      <c r="AF10" s="313"/>
      <c r="AG10" s="313"/>
      <c r="AH10" s="313" t="s">
        <v>2471</v>
      </c>
      <c r="AI10" s="313"/>
      <c r="AJ10" s="313"/>
      <c r="AK10" s="313"/>
      <c r="AL10" s="313"/>
      <c r="AM10" s="313"/>
      <c r="AN10" s="313"/>
      <c r="AO10" s="313"/>
      <c r="AP10" s="313"/>
      <c r="AQ10" s="313"/>
      <c r="AR10" s="313"/>
      <c r="AS10" s="313"/>
      <c r="AT10" s="313"/>
      <c r="AU10" s="313"/>
      <c r="AV10" s="313"/>
      <c r="AX10" s="315">
        <f t="shared" si="12"/>
        <v>0</v>
      </c>
      <c r="AY10" s="315">
        <f t="shared" si="13"/>
        <v>0</v>
      </c>
      <c r="AZ10" s="313" t="s">
        <v>659</v>
      </c>
      <c r="BA10" s="313" t="s">
        <v>2506</v>
      </c>
      <c r="BB10" s="313" t="s">
        <v>658</v>
      </c>
      <c r="BC10" s="313" t="s">
        <v>2398</v>
      </c>
      <c r="BD10" s="315" t="s">
        <v>2507</v>
      </c>
      <c r="BE10" s="313" t="s">
        <v>2402</v>
      </c>
      <c r="BF10" s="315">
        <v>1</v>
      </c>
      <c r="BG10" s="313" t="s">
        <v>2403</v>
      </c>
      <c r="BH10" s="313">
        <v>5000</v>
      </c>
      <c r="BI10" s="313">
        <v>0</v>
      </c>
      <c r="BJ10" s="313" t="s">
        <v>2232</v>
      </c>
      <c r="BK10" s="313">
        <v>6</v>
      </c>
      <c r="BL10" s="313">
        <v>1</v>
      </c>
      <c r="BM10" s="313">
        <v>6</v>
      </c>
      <c r="BN10" s="313">
        <v>20</v>
      </c>
      <c r="BO10" s="313">
        <v>3</v>
      </c>
      <c r="BP10" s="313"/>
      <c r="BR10" s="313" t="s">
        <v>692</v>
      </c>
      <c r="BS10" s="315" t="s">
        <v>521</v>
      </c>
      <c r="BT10" s="315">
        <v>1</v>
      </c>
      <c r="BU10" s="315">
        <v>8</v>
      </c>
      <c r="BV10" s="315" t="s">
        <v>523</v>
      </c>
      <c r="BW10" s="315">
        <v>2</v>
      </c>
      <c r="BX10" s="315">
        <v>-1</v>
      </c>
      <c r="BY10" s="315">
        <v>-1</v>
      </c>
      <c r="BZ10" s="315">
        <v>0</v>
      </c>
      <c r="CA10" s="315">
        <v>0</v>
      </c>
      <c r="CB10" s="315">
        <v>0</v>
      </c>
      <c r="CC10" s="315">
        <v>0</v>
      </c>
    </row>
    <row r="11" spans="1:92">
      <c r="A11" s="313" t="s">
        <v>660</v>
      </c>
      <c r="B11" s="315">
        <f t="shared" si="0"/>
        <v>1</v>
      </c>
      <c r="C11" s="313" t="str">
        <f t="shared" si="1"/>
        <v>Carnivore</v>
      </c>
      <c r="D11" s="313" t="str">
        <f t="shared" si="2"/>
        <v>Aggressive</v>
      </c>
      <c r="E11" s="315">
        <v>0</v>
      </c>
      <c r="F11" s="315">
        <v>0</v>
      </c>
      <c r="G11" s="315">
        <v>0</v>
      </c>
      <c r="H11" s="315">
        <v>0</v>
      </c>
      <c r="I11" s="315">
        <v>0</v>
      </c>
      <c r="J11" s="315">
        <v>0</v>
      </c>
      <c r="K11" s="315">
        <v>0</v>
      </c>
      <c r="L11" s="315">
        <v>0</v>
      </c>
      <c r="M11" s="315">
        <v>15</v>
      </c>
      <c r="N11" s="315">
        <v>0</v>
      </c>
      <c r="O11" s="315">
        <f t="shared" si="3"/>
        <v>1</v>
      </c>
      <c r="P11" s="315">
        <f t="shared" si="4"/>
        <v>1</v>
      </c>
      <c r="Q11" s="315" t="str">
        <f t="shared" si="5"/>
        <v>Skin</v>
      </c>
      <c r="R11" s="315" t="str">
        <f t="shared" si="6"/>
        <v>Skin</v>
      </c>
      <c r="S11" s="315" t="str">
        <f t="shared" si="7"/>
        <v>Skin</v>
      </c>
      <c r="T11" s="315" t="str">
        <f t="shared" si="8"/>
        <v>Skin</v>
      </c>
      <c r="U11" s="315" t="str">
        <f t="shared" si="9"/>
        <v>Skin</v>
      </c>
      <c r="V11" s="315" t="str">
        <f t="shared" si="10"/>
        <v>Skin</v>
      </c>
      <c r="W11" s="313" t="s">
        <v>481</v>
      </c>
      <c r="X11" s="313" t="s">
        <v>2519</v>
      </c>
      <c r="Y11" s="313"/>
      <c r="Z11" s="313"/>
      <c r="AA11" s="313"/>
      <c r="AB11" s="313"/>
      <c r="AC11" s="313"/>
      <c r="AD11" s="315">
        <f t="shared" si="14"/>
        <v>10</v>
      </c>
      <c r="AE11" s="315">
        <f t="shared" si="11"/>
        <v>10</v>
      </c>
      <c r="AF11" s="313"/>
      <c r="AG11" s="313"/>
      <c r="AH11" s="313" t="s">
        <v>2471</v>
      </c>
      <c r="AI11" s="313"/>
      <c r="AJ11" s="313"/>
      <c r="AK11" s="313"/>
      <c r="AL11" s="313"/>
      <c r="AM11" s="313"/>
      <c r="AN11" s="313"/>
      <c r="AO11" s="313"/>
      <c r="AP11" s="313"/>
      <c r="AQ11" s="313"/>
      <c r="AR11" s="313"/>
      <c r="AS11" s="313"/>
      <c r="AT11" s="313"/>
      <c r="AU11" s="313"/>
      <c r="AV11" s="313"/>
      <c r="AX11" s="315">
        <f t="shared" si="12"/>
        <v>50</v>
      </c>
      <c r="AY11" s="315">
        <f t="shared" si="13"/>
        <v>0</v>
      </c>
      <c r="AZ11" s="313" t="s">
        <v>659</v>
      </c>
      <c r="BA11" s="313" t="s">
        <v>2495</v>
      </c>
      <c r="BB11" s="313" t="s">
        <v>660</v>
      </c>
      <c r="BC11" s="313" t="s">
        <v>803</v>
      </c>
      <c r="BD11" s="315">
        <v>1</v>
      </c>
      <c r="BE11" s="313" t="s">
        <v>2469</v>
      </c>
      <c r="BF11" s="315">
        <v>1</v>
      </c>
      <c r="BG11" s="313" t="s">
        <v>2392</v>
      </c>
      <c r="BH11" s="313">
        <v>100</v>
      </c>
      <c r="BI11" s="313">
        <v>50</v>
      </c>
      <c r="BJ11" s="313" t="s">
        <v>2518</v>
      </c>
      <c r="BK11" s="313">
        <v>0</v>
      </c>
      <c r="BL11" s="313">
        <v>1</v>
      </c>
      <c r="BM11" s="313">
        <v>3</v>
      </c>
      <c r="BN11" s="313">
        <v>10</v>
      </c>
      <c r="BO11" s="313">
        <v>0</v>
      </c>
      <c r="BP11" s="313"/>
      <c r="BR11" s="313" t="s">
        <v>690</v>
      </c>
      <c r="BS11" s="315" t="s">
        <v>521</v>
      </c>
      <c r="BT11" s="315">
        <v>1</v>
      </c>
      <c r="BU11" s="315">
        <v>9</v>
      </c>
      <c r="BV11" s="315" t="s">
        <v>517</v>
      </c>
      <c r="BW11" s="315">
        <v>3</v>
      </c>
      <c r="BX11" s="315">
        <v>2</v>
      </c>
      <c r="BY11" s="315">
        <v>2</v>
      </c>
      <c r="BZ11" s="315">
        <v>0</v>
      </c>
      <c r="CA11" s="315">
        <v>0</v>
      </c>
      <c r="CB11" s="315">
        <v>0</v>
      </c>
      <c r="CC11" s="315">
        <v>2</v>
      </c>
    </row>
    <row r="12" spans="1:92">
      <c r="A12" s="313" t="s">
        <v>860</v>
      </c>
      <c r="B12" s="315">
        <f t="shared" si="0"/>
        <v>1</v>
      </c>
      <c r="C12" s="313" t="str">
        <f t="shared" si="1"/>
        <v>Herbivore</v>
      </c>
      <c r="D12" s="313" t="str">
        <f t="shared" si="2"/>
        <v>Non-threatening</v>
      </c>
      <c r="E12" s="315">
        <v>0</v>
      </c>
      <c r="F12" s="315">
        <v>0</v>
      </c>
      <c r="G12" s="315">
        <v>0</v>
      </c>
      <c r="H12" s="315">
        <v>0</v>
      </c>
      <c r="I12" s="315">
        <v>0</v>
      </c>
      <c r="J12" s="315">
        <v>0</v>
      </c>
      <c r="K12" s="315">
        <v>0</v>
      </c>
      <c r="L12" s="315">
        <v>0</v>
      </c>
      <c r="M12" s="315">
        <v>15</v>
      </c>
      <c r="N12" s="315">
        <v>0</v>
      </c>
      <c r="O12" s="315">
        <f t="shared" si="3"/>
        <v>1</v>
      </c>
      <c r="P12" s="315">
        <f t="shared" si="4"/>
        <v>4</v>
      </c>
      <c r="Q12" s="315" t="s">
        <v>2422</v>
      </c>
      <c r="R12" s="315" t="str">
        <f t="shared" si="6"/>
        <v>Skin</v>
      </c>
      <c r="S12" s="315" t="str">
        <f t="shared" si="7"/>
        <v>Skin</v>
      </c>
      <c r="T12" s="315" t="str">
        <f t="shared" si="8"/>
        <v>Skin</v>
      </c>
      <c r="U12" s="315" t="str">
        <f t="shared" si="9"/>
        <v>Skin</v>
      </c>
      <c r="V12" s="315" t="str">
        <f t="shared" si="10"/>
        <v>Skin</v>
      </c>
      <c r="W12" s="313" t="s">
        <v>550</v>
      </c>
      <c r="X12" s="313" t="s">
        <v>2423</v>
      </c>
      <c r="Y12" s="313"/>
      <c r="Z12" s="313"/>
      <c r="AA12" s="313"/>
      <c r="AB12" s="313"/>
      <c r="AC12" s="313"/>
      <c r="AD12" s="315">
        <f t="shared" si="14"/>
        <v>5</v>
      </c>
      <c r="AE12" s="315">
        <f t="shared" si="11"/>
        <v>5</v>
      </c>
      <c r="AF12" s="313"/>
      <c r="AG12" s="313"/>
      <c r="AH12" s="313"/>
      <c r="AI12" s="313"/>
      <c r="AJ12" s="313"/>
      <c r="AK12" s="313"/>
      <c r="AL12" s="313"/>
      <c r="AM12" s="313"/>
      <c r="AN12" s="313"/>
      <c r="AO12" s="313"/>
      <c r="AP12" s="313"/>
      <c r="AQ12" s="313"/>
      <c r="AR12" s="313"/>
      <c r="AS12" s="313"/>
      <c r="AT12" s="313"/>
      <c r="AU12" s="313"/>
      <c r="AV12" s="313"/>
      <c r="AX12" s="315">
        <f t="shared" si="12"/>
        <v>10</v>
      </c>
      <c r="AY12" s="315">
        <f t="shared" si="13"/>
        <v>0</v>
      </c>
      <c r="AZ12" s="313" t="s">
        <v>659</v>
      </c>
      <c r="BA12" s="313" t="s">
        <v>727</v>
      </c>
      <c r="BB12" s="313" t="s">
        <v>860</v>
      </c>
      <c r="BC12" s="313" t="s">
        <v>2520</v>
      </c>
      <c r="BD12" s="315">
        <v>1</v>
      </c>
      <c r="BE12" s="313" t="s">
        <v>2521</v>
      </c>
      <c r="BF12" s="315">
        <v>1</v>
      </c>
      <c r="BG12" s="313" t="s">
        <v>2421</v>
      </c>
      <c r="BH12" s="313">
        <v>2400</v>
      </c>
      <c r="BI12" s="313">
        <v>10</v>
      </c>
      <c r="BJ12" s="313" t="s">
        <v>2422</v>
      </c>
      <c r="BK12" s="313">
        <v>1</v>
      </c>
      <c r="BL12" s="313">
        <v>1</v>
      </c>
      <c r="BM12" s="313">
        <v>6</v>
      </c>
      <c r="BN12" s="313">
        <v>10</v>
      </c>
      <c r="BO12" s="313">
        <v>10</v>
      </c>
      <c r="BP12" s="313"/>
      <c r="BV12" s="318" t="s">
        <v>524</v>
      </c>
      <c r="BX12" s="319" t="s">
        <v>525</v>
      </c>
    </row>
    <row r="13" spans="1:92">
      <c r="A13" s="313" t="s">
        <v>2424</v>
      </c>
      <c r="B13" s="315" t="str">
        <f t="shared" si="0"/>
        <v>1D6 X 1D10</v>
      </c>
      <c r="C13" s="313" t="str">
        <f t="shared" si="1"/>
        <v>Herbivore</v>
      </c>
      <c r="D13" s="313" t="str">
        <f t="shared" si="2"/>
        <v>Non-threatening</v>
      </c>
      <c r="E13" s="315">
        <v>0</v>
      </c>
      <c r="F13" s="315">
        <v>0</v>
      </c>
      <c r="G13" s="315">
        <v>0</v>
      </c>
      <c r="H13" s="315">
        <v>0</v>
      </c>
      <c r="I13" s="315">
        <v>0</v>
      </c>
      <c r="J13" s="315">
        <v>0</v>
      </c>
      <c r="K13" s="315">
        <v>0</v>
      </c>
      <c r="L13" s="315">
        <v>0</v>
      </c>
      <c r="M13" s="315">
        <v>15</v>
      </c>
      <c r="N13" s="315">
        <v>0</v>
      </c>
      <c r="O13" s="315">
        <f t="shared" si="3"/>
        <v>1</v>
      </c>
      <c r="P13" s="315">
        <f t="shared" si="4"/>
        <v>-3</v>
      </c>
      <c r="Q13" s="315" t="str">
        <f t="shared" ref="Q13:Q19" si="15">BJ13</f>
        <v>Exoskeleton</v>
      </c>
      <c r="R13" s="315" t="str">
        <f t="shared" si="6"/>
        <v>Exoskeleton</v>
      </c>
      <c r="S13" s="315" t="str">
        <f t="shared" si="7"/>
        <v>Exoskeleton</v>
      </c>
      <c r="T13" s="315" t="str">
        <f t="shared" si="8"/>
        <v>Exoskeleton</v>
      </c>
      <c r="U13" s="315" t="str">
        <f t="shared" si="9"/>
        <v>Exoskeleton</v>
      </c>
      <c r="V13" s="315" t="str">
        <f t="shared" si="10"/>
        <v>Exoskeleton</v>
      </c>
      <c r="W13" s="313" t="s">
        <v>476</v>
      </c>
      <c r="X13" s="313" t="s">
        <v>2374</v>
      </c>
      <c r="Y13" s="313" t="s">
        <v>2374</v>
      </c>
      <c r="Z13" s="313"/>
      <c r="AA13" s="313"/>
      <c r="AB13" s="313"/>
      <c r="AC13" s="313"/>
      <c r="AD13" s="315">
        <f t="shared" si="14"/>
        <v>10</v>
      </c>
      <c r="AE13" s="315">
        <f t="shared" si="11"/>
        <v>10</v>
      </c>
      <c r="AF13" s="313"/>
      <c r="AG13" s="313"/>
      <c r="AH13" s="313"/>
      <c r="AI13" s="313"/>
      <c r="AJ13" s="313"/>
      <c r="AK13" s="313"/>
      <c r="AL13" s="313"/>
      <c r="AM13" s="313"/>
      <c r="AN13" s="313"/>
      <c r="AO13" s="313"/>
      <c r="AP13" s="313"/>
      <c r="AQ13" s="313"/>
      <c r="AR13" s="313"/>
      <c r="AS13" s="313"/>
      <c r="AT13" s="313"/>
      <c r="AU13" s="313"/>
      <c r="AV13" s="313"/>
      <c r="AX13" s="315">
        <f t="shared" si="12"/>
        <v>10</v>
      </c>
      <c r="AY13" s="315">
        <f t="shared" si="13"/>
        <v>0</v>
      </c>
      <c r="AZ13" s="313" t="s">
        <v>659</v>
      </c>
      <c r="BA13" s="313" t="s">
        <v>2496</v>
      </c>
      <c r="BB13" s="313" t="s">
        <v>2424</v>
      </c>
      <c r="BC13" s="313" t="s">
        <v>2520</v>
      </c>
      <c r="BD13" s="315" t="s">
        <v>2229</v>
      </c>
      <c r="BE13" s="313" t="s">
        <v>2521</v>
      </c>
      <c r="BF13" s="315">
        <v>1</v>
      </c>
      <c r="BG13" s="313" t="s">
        <v>2230</v>
      </c>
      <c r="BH13" s="313">
        <v>20</v>
      </c>
      <c r="BI13" s="313">
        <v>10</v>
      </c>
      <c r="BJ13" s="317" t="s">
        <v>1511</v>
      </c>
      <c r="BK13" s="313">
        <v>0</v>
      </c>
      <c r="BL13" s="313">
        <v>1</v>
      </c>
      <c r="BM13" s="313">
        <v>2</v>
      </c>
      <c r="BN13" s="313">
        <v>2</v>
      </c>
      <c r="BO13" s="313">
        <v>0</v>
      </c>
      <c r="BP13" s="313"/>
      <c r="BW13" s="318" t="s">
        <v>673</v>
      </c>
      <c r="BX13" s="313" t="s">
        <v>526</v>
      </c>
    </row>
    <row r="14" spans="1:92">
      <c r="A14" s="313" t="s">
        <v>779</v>
      </c>
      <c r="B14" s="315">
        <f t="shared" si="0"/>
        <v>1</v>
      </c>
      <c r="C14" s="313" t="str">
        <f t="shared" si="1"/>
        <v>Carnivore</v>
      </c>
      <c r="D14" s="313" t="str">
        <f t="shared" si="2"/>
        <v>Dangerous</v>
      </c>
      <c r="E14" s="315">
        <v>0</v>
      </c>
      <c r="F14" s="315">
        <v>0</v>
      </c>
      <c r="G14" s="315">
        <v>0</v>
      </c>
      <c r="H14" s="315">
        <v>0</v>
      </c>
      <c r="I14" s="315">
        <v>0</v>
      </c>
      <c r="J14" s="315">
        <v>0</v>
      </c>
      <c r="K14" s="315">
        <v>0</v>
      </c>
      <c r="L14" s="315">
        <v>0</v>
      </c>
      <c r="M14" s="315">
        <v>15</v>
      </c>
      <c r="N14" s="315">
        <v>0</v>
      </c>
      <c r="O14" s="315">
        <f t="shared" si="3"/>
        <v>1</v>
      </c>
      <c r="P14" s="315">
        <f t="shared" si="4"/>
        <v>-9</v>
      </c>
      <c r="Q14" s="315" t="str">
        <f t="shared" si="15"/>
        <v>Skin</v>
      </c>
      <c r="R14" s="315" t="str">
        <f t="shared" si="6"/>
        <v>Skin</v>
      </c>
      <c r="S14" s="315" t="str">
        <f t="shared" si="7"/>
        <v>Skin</v>
      </c>
      <c r="T14" s="315" t="str">
        <f t="shared" si="8"/>
        <v>Skin</v>
      </c>
      <c r="U14" s="315" t="str">
        <f t="shared" si="9"/>
        <v>Skin</v>
      </c>
      <c r="V14" s="315" t="str">
        <f t="shared" si="10"/>
        <v>Skin</v>
      </c>
      <c r="W14" s="313" t="s">
        <v>477</v>
      </c>
      <c r="X14" s="313" t="s">
        <v>2375</v>
      </c>
      <c r="Y14" s="313" t="s">
        <v>2406</v>
      </c>
      <c r="Z14" s="313"/>
      <c r="AA14" s="313"/>
      <c r="AB14" s="313"/>
      <c r="AC14" s="313"/>
      <c r="AD14" s="315">
        <f t="shared" si="14"/>
        <v>5</v>
      </c>
      <c r="AE14" s="315">
        <f t="shared" si="11"/>
        <v>5</v>
      </c>
      <c r="AF14" s="313"/>
      <c r="AG14" s="313"/>
      <c r="AH14" s="313" t="s">
        <v>2376</v>
      </c>
      <c r="AI14" s="313"/>
      <c r="AJ14" s="313"/>
      <c r="AK14" s="313"/>
      <c r="AL14" s="313"/>
      <c r="AM14" s="313"/>
      <c r="AN14" s="313"/>
      <c r="AO14" s="313"/>
      <c r="AP14" s="313"/>
      <c r="AQ14" s="313"/>
      <c r="AR14" s="313"/>
      <c r="AS14" s="313"/>
      <c r="AT14" s="313"/>
      <c r="AU14" s="313"/>
      <c r="AV14" s="313"/>
      <c r="AX14" s="315">
        <f t="shared" si="12"/>
        <v>1</v>
      </c>
      <c r="AY14" s="315">
        <f t="shared" si="13"/>
        <v>0</v>
      </c>
      <c r="AZ14" s="313" t="s">
        <v>659</v>
      </c>
      <c r="BA14" s="313" t="s">
        <v>2496</v>
      </c>
      <c r="BB14" s="313" t="s">
        <v>779</v>
      </c>
      <c r="BC14" s="313" t="s">
        <v>2398</v>
      </c>
      <c r="BD14" s="315">
        <v>1</v>
      </c>
      <c r="BE14" s="313" t="s">
        <v>2231</v>
      </c>
      <c r="BF14" s="315">
        <v>1</v>
      </c>
      <c r="BG14" s="313" t="s">
        <v>2421</v>
      </c>
      <c r="BH14" s="313">
        <v>2</v>
      </c>
      <c r="BI14" s="313">
        <v>1</v>
      </c>
      <c r="BJ14" s="313" t="s">
        <v>2232</v>
      </c>
      <c r="BK14" s="313">
        <v>0</v>
      </c>
      <c r="BL14" s="313">
        <v>1</v>
      </c>
      <c r="BM14" s="313">
        <v>1</v>
      </c>
      <c r="BN14" s="313">
        <v>2</v>
      </c>
      <c r="BO14" s="313">
        <v>0</v>
      </c>
      <c r="BP14" s="313"/>
      <c r="BR14" s="313" t="s">
        <v>527</v>
      </c>
    </row>
    <row r="15" spans="1:92">
      <c r="A15" s="313" t="s">
        <v>966</v>
      </c>
      <c r="B15" s="315">
        <f t="shared" si="0"/>
        <v>1</v>
      </c>
      <c r="C15" s="313" t="str">
        <f t="shared" si="1"/>
        <v>Carnivore</v>
      </c>
      <c r="D15" s="313" t="str">
        <f t="shared" si="2"/>
        <v>Ferocious</v>
      </c>
      <c r="E15" s="315">
        <v>0</v>
      </c>
      <c r="F15" s="315">
        <v>0</v>
      </c>
      <c r="G15" s="315">
        <v>0</v>
      </c>
      <c r="H15" s="315">
        <v>0</v>
      </c>
      <c r="I15" s="315">
        <v>0</v>
      </c>
      <c r="J15" s="315">
        <v>0</v>
      </c>
      <c r="K15" s="315">
        <v>0</v>
      </c>
      <c r="L15" s="315">
        <v>0</v>
      </c>
      <c r="M15" s="315">
        <v>15</v>
      </c>
      <c r="N15" s="315">
        <v>0</v>
      </c>
      <c r="O15" s="315">
        <f t="shared" si="3"/>
        <v>10</v>
      </c>
      <c r="P15" s="315">
        <f t="shared" si="4"/>
        <v>3</v>
      </c>
      <c r="Q15" s="315" t="str">
        <f t="shared" si="15"/>
        <v>Light Hide</v>
      </c>
      <c r="R15" s="315" t="str">
        <f t="shared" si="6"/>
        <v>Light Hide</v>
      </c>
      <c r="S15" s="315" t="str">
        <f t="shared" si="7"/>
        <v>Light Hide</v>
      </c>
      <c r="T15" s="315" t="str">
        <f t="shared" si="8"/>
        <v>Light Hide</v>
      </c>
      <c r="U15" s="315" t="str">
        <f t="shared" si="9"/>
        <v>Light Hide</v>
      </c>
      <c r="V15" s="315" t="str">
        <f t="shared" si="10"/>
        <v>Light Hide</v>
      </c>
      <c r="W15" s="313" t="s">
        <v>478</v>
      </c>
      <c r="X15" s="313" t="s">
        <v>2406</v>
      </c>
      <c r="Y15" s="313"/>
      <c r="Z15" s="313"/>
      <c r="AA15" s="313"/>
      <c r="AB15" s="313"/>
      <c r="AC15" s="313"/>
      <c r="AD15" s="315">
        <f t="shared" si="14"/>
        <v>15</v>
      </c>
      <c r="AE15" s="315">
        <f t="shared" si="11"/>
        <v>15</v>
      </c>
      <c r="AF15" s="313"/>
      <c r="AG15" s="313"/>
      <c r="AH15" s="313"/>
      <c r="AI15" s="313"/>
      <c r="AJ15" s="313"/>
      <c r="AK15" s="313"/>
      <c r="AL15" s="313"/>
      <c r="AM15" s="313"/>
      <c r="AN15" s="313"/>
      <c r="AO15" s="313"/>
      <c r="AP15" s="313"/>
      <c r="AQ15" s="313"/>
      <c r="AR15" s="313"/>
      <c r="AS15" s="313"/>
      <c r="AT15" s="313"/>
      <c r="AU15" s="313"/>
      <c r="AV15" s="313"/>
      <c r="AX15" s="315">
        <f t="shared" si="12"/>
        <v>100</v>
      </c>
      <c r="AY15" s="315">
        <f t="shared" si="13"/>
        <v>0</v>
      </c>
      <c r="AZ15" s="313" t="s">
        <v>659</v>
      </c>
      <c r="BA15" s="313" t="s">
        <v>967</v>
      </c>
      <c r="BB15" s="313" t="s">
        <v>966</v>
      </c>
      <c r="BC15" s="313" t="s">
        <v>2398</v>
      </c>
      <c r="BD15" s="315">
        <v>1</v>
      </c>
      <c r="BE15" s="313" t="s">
        <v>2402</v>
      </c>
      <c r="BF15" s="315">
        <v>10</v>
      </c>
      <c r="BG15" s="313" t="s">
        <v>2403</v>
      </c>
      <c r="BH15" s="313">
        <v>500</v>
      </c>
      <c r="BI15" s="313">
        <v>100</v>
      </c>
      <c r="BJ15" s="313" t="s">
        <v>2395</v>
      </c>
      <c r="BK15" s="313">
        <v>0</v>
      </c>
      <c r="BL15" s="313">
        <v>1</v>
      </c>
      <c r="BM15" s="313">
        <v>6</v>
      </c>
      <c r="BN15" s="313">
        <v>20</v>
      </c>
      <c r="BO15" s="313">
        <v>0</v>
      </c>
      <c r="BP15" s="313"/>
      <c r="BR15" s="313" t="s">
        <v>528</v>
      </c>
    </row>
    <row r="16" spans="1:92">
      <c r="A16" s="313" t="s">
        <v>663</v>
      </c>
      <c r="B16" s="315">
        <f t="shared" si="0"/>
        <v>1</v>
      </c>
      <c r="C16" s="313" t="str">
        <f t="shared" si="1"/>
        <v>Carnivore</v>
      </c>
      <c r="D16" s="313" t="str">
        <f t="shared" si="2"/>
        <v>Dangerous</v>
      </c>
      <c r="E16" s="315">
        <v>0</v>
      </c>
      <c r="F16" s="315">
        <v>0</v>
      </c>
      <c r="G16" s="315">
        <v>0</v>
      </c>
      <c r="H16" s="315">
        <v>0</v>
      </c>
      <c r="I16" s="315">
        <v>0</v>
      </c>
      <c r="J16" s="315">
        <v>0</v>
      </c>
      <c r="K16" s="315">
        <v>0</v>
      </c>
      <c r="L16" s="315">
        <v>0</v>
      </c>
      <c r="M16" s="315">
        <v>15</v>
      </c>
      <c r="N16" s="315">
        <v>0</v>
      </c>
      <c r="O16" s="315">
        <f t="shared" si="3"/>
        <v>2</v>
      </c>
      <c r="P16" s="315">
        <f t="shared" si="4"/>
        <v>-5</v>
      </c>
      <c r="Q16" s="315" t="str">
        <f t="shared" si="15"/>
        <v>Skin</v>
      </c>
      <c r="R16" s="315" t="str">
        <f t="shared" si="6"/>
        <v>Skin</v>
      </c>
      <c r="S16" s="315" t="str">
        <f t="shared" si="7"/>
        <v>Skin</v>
      </c>
      <c r="T16" s="315" t="str">
        <f t="shared" si="8"/>
        <v>Skin</v>
      </c>
      <c r="U16" s="315" t="str">
        <f t="shared" si="9"/>
        <v>Skin</v>
      </c>
      <c r="V16" s="315" t="str">
        <f t="shared" si="10"/>
        <v>Skin</v>
      </c>
      <c r="W16" s="313" t="s">
        <v>631</v>
      </c>
      <c r="X16" s="313" t="s">
        <v>2377</v>
      </c>
      <c r="Y16" s="313"/>
      <c r="Z16" s="313"/>
      <c r="AA16" s="313"/>
      <c r="AB16" s="313"/>
      <c r="AC16" s="313"/>
      <c r="AD16" s="315">
        <f t="shared" si="14"/>
        <v>15</v>
      </c>
      <c r="AE16" s="315">
        <f t="shared" si="11"/>
        <v>15</v>
      </c>
      <c r="AF16" s="313"/>
      <c r="AG16" s="313"/>
      <c r="AH16" s="313" t="s">
        <v>2471</v>
      </c>
      <c r="AI16" s="313"/>
      <c r="AJ16" s="313"/>
      <c r="AK16" s="313"/>
      <c r="AL16" s="313"/>
      <c r="AM16" s="313"/>
      <c r="AN16" s="313"/>
      <c r="AO16" s="313"/>
      <c r="AP16" s="313"/>
      <c r="AQ16" s="313"/>
      <c r="AR16" s="313"/>
      <c r="AS16" s="313"/>
      <c r="AT16" s="313"/>
      <c r="AU16" s="313"/>
      <c r="AV16" s="313"/>
      <c r="AX16" s="315">
        <f t="shared" si="12"/>
        <v>0</v>
      </c>
      <c r="AY16" s="315">
        <f t="shared" si="13"/>
        <v>0</v>
      </c>
      <c r="AZ16" s="313" t="s">
        <v>659</v>
      </c>
      <c r="BA16" s="313" t="s">
        <v>2497</v>
      </c>
      <c r="BB16" s="313" t="s">
        <v>663</v>
      </c>
      <c r="BC16" s="313" t="s">
        <v>2398</v>
      </c>
      <c r="BD16" s="315">
        <v>1</v>
      </c>
      <c r="BE16" s="313" t="s">
        <v>2231</v>
      </c>
      <c r="BF16" s="315">
        <v>2</v>
      </c>
      <c r="BG16" s="313" t="s">
        <v>2403</v>
      </c>
      <c r="BH16" s="313">
        <v>10</v>
      </c>
      <c r="BI16" s="313">
        <v>0</v>
      </c>
      <c r="BJ16" s="317" t="s">
        <v>2439</v>
      </c>
      <c r="BK16" s="313">
        <v>0</v>
      </c>
      <c r="BL16" s="313">
        <v>1</v>
      </c>
      <c r="BM16" s="313">
        <v>2</v>
      </c>
      <c r="BN16" s="313">
        <v>2</v>
      </c>
      <c r="BO16" s="313">
        <v>0</v>
      </c>
      <c r="BP16" s="313"/>
      <c r="BR16" s="313" t="s">
        <v>571</v>
      </c>
    </row>
    <row r="17" spans="1:85">
      <c r="A17" s="313" t="s">
        <v>780</v>
      </c>
      <c r="B17" s="315" t="str">
        <f t="shared" si="0"/>
        <v>1 (+ reinforcements)</v>
      </c>
      <c r="C17" s="313" t="str">
        <f t="shared" si="1"/>
        <v>Carnivore</v>
      </c>
      <c r="D17" s="313" t="str">
        <f t="shared" si="2"/>
        <v>Ferocious</v>
      </c>
      <c r="E17" s="315">
        <v>0</v>
      </c>
      <c r="F17" s="315">
        <v>0</v>
      </c>
      <c r="G17" s="315">
        <v>0</v>
      </c>
      <c r="H17" s="315">
        <v>0</v>
      </c>
      <c r="I17" s="315">
        <v>0</v>
      </c>
      <c r="J17" s="315">
        <v>0</v>
      </c>
      <c r="K17" s="315">
        <v>0</v>
      </c>
      <c r="L17" s="315">
        <v>0</v>
      </c>
      <c r="M17" s="315">
        <v>15</v>
      </c>
      <c r="N17" s="315">
        <v>0</v>
      </c>
      <c r="O17" s="315">
        <f t="shared" si="3"/>
        <v>2</v>
      </c>
      <c r="P17" s="315">
        <f t="shared" si="4"/>
        <v>-10</v>
      </c>
      <c r="Q17" s="315" t="str">
        <f t="shared" si="15"/>
        <v>Fur/Feathers</v>
      </c>
      <c r="R17" s="315" t="str">
        <f t="shared" si="6"/>
        <v>Fur/Feathers</v>
      </c>
      <c r="S17" s="315" t="str">
        <f t="shared" si="7"/>
        <v>Fur/Feathers</v>
      </c>
      <c r="T17" s="315" t="str">
        <f t="shared" si="8"/>
        <v>Fur/Feathers</v>
      </c>
      <c r="U17" s="315" t="str">
        <f t="shared" si="9"/>
        <v>Fur/Feathers</v>
      </c>
      <c r="V17" s="315" t="str">
        <f t="shared" si="10"/>
        <v>Fur/Feathers</v>
      </c>
      <c r="W17" s="313" t="s">
        <v>632</v>
      </c>
      <c r="X17" s="313" t="s">
        <v>2379</v>
      </c>
      <c r="Y17" s="313" t="s">
        <v>2379</v>
      </c>
      <c r="Z17" s="313"/>
      <c r="AA17" s="313"/>
      <c r="AB17" s="313"/>
      <c r="AC17" s="313"/>
      <c r="AD17" s="315">
        <f t="shared" si="14"/>
        <v>10</v>
      </c>
      <c r="AE17" s="315">
        <f t="shared" si="11"/>
        <v>10</v>
      </c>
      <c r="AF17" s="313"/>
      <c r="AG17" s="313"/>
      <c r="AH17" s="313" t="s">
        <v>2376</v>
      </c>
      <c r="AI17" s="313"/>
      <c r="AJ17" s="313"/>
      <c r="AK17" s="313"/>
      <c r="AL17" s="313"/>
      <c r="AM17" s="313"/>
      <c r="AN17" s="313"/>
      <c r="AO17" s="313"/>
      <c r="AP17" s="313"/>
      <c r="AQ17" s="313"/>
      <c r="AR17" s="313"/>
      <c r="AS17" s="313"/>
      <c r="AT17" s="313"/>
      <c r="AU17" s="313"/>
      <c r="AV17" s="313"/>
      <c r="AX17" s="315">
        <f t="shared" si="12"/>
        <v>80</v>
      </c>
      <c r="AY17" s="315">
        <f t="shared" si="13"/>
        <v>0</v>
      </c>
      <c r="AZ17" s="313" t="s">
        <v>659</v>
      </c>
      <c r="BA17" s="313" t="s">
        <v>2498</v>
      </c>
      <c r="BB17" s="313" t="s">
        <v>780</v>
      </c>
      <c r="BC17" s="313" t="s">
        <v>2398</v>
      </c>
      <c r="BD17" s="315" t="s">
        <v>2378</v>
      </c>
      <c r="BE17" s="313" t="s">
        <v>2402</v>
      </c>
      <c r="BF17" s="315">
        <v>2</v>
      </c>
      <c r="BG17" s="313" t="s">
        <v>2392</v>
      </c>
      <c r="BH17" s="313">
        <v>0.5</v>
      </c>
      <c r="BI17" s="313">
        <v>80</v>
      </c>
      <c r="BJ17" s="317" t="s">
        <v>2437</v>
      </c>
      <c r="BK17" s="313">
        <v>-5</v>
      </c>
      <c r="BL17" s="313">
        <v>1</v>
      </c>
      <c r="BM17" s="313">
        <v>1</v>
      </c>
      <c r="BN17" s="313">
        <v>1</v>
      </c>
      <c r="BO17" s="313">
        <v>0</v>
      </c>
      <c r="BP17" s="313"/>
      <c r="BR17" s="313" t="s">
        <v>572</v>
      </c>
    </row>
    <row r="18" spans="1:85">
      <c r="A18" s="313" t="s">
        <v>781</v>
      </c>
      <c r="B18" s="315" t="str">
        <f t="shared" si="0"/>
        <v>1D6</v>
      </c>
      <c r="C18" s="313" t="str">
        <f t="shared" si="1"/>
        <v>Herbivore</v>
      </c>
      <c r="D18" s="313" t="str">
        <f t="shared" si="2"/>
        <v>Non-threatening</v>
      </c>
      <c r="E18" s="315">
        <v>0</v>
      </c>
      <c r="F18" s="315">
        <v>0</v>
      </c>
      <c r="G18" s="315">
        <v>0</v>
      </c>
      <c r="H18" s="315">
        <v>0</v>
      </c>
      <c r="I18" s="315">
        <v>0</v>
      </c>
      <c r="J18" s="315">
        <v>0</v>
      </c>
      <c r="K18" s="315">
        <v>0</v>
      </c>
      <c r="L18" s="315">
        <v>0</v>
      </c>
      <c r="M18" s="315">
        <v>15</v>
      </c>
      <c r="N18" s="315">
        <v>0</v>
      </c>
      <c r="O18" s="315">
        <f t="shared" si="3"/>
        <v>2</v>
      </c>
      <c r="P18" s="315">
        <f t="shared" si="4"/>
        <v>2</v>
      </c>
      <c r="Q18" s="315" t="str">
        <f t="shared" si="15"/>
        <v>Fur/Feathers</v>
      </c>
      <c r="R18" s="315" t="str">
        <f t="shared" si="6"/>
        <v>Fur/Feathers</v>
      </c>
      <c r="S18" s="315" t="str">
        <f t="shared" si="7"/>
        <v>Fur/Feathers</v>
      </c>
      <c r="T18" s="315" t="str">
        <f t="shared" si="8"/>
        <v>Fur/Feathers</v>
      </c>
      <c r="U18" s="315" t="str">
        <f t="shared" si="9"/>
        <v>Fur/Feathers</v>
      </c>
      <c r="V18" s="315" t="str">
        <f t="shared" si="10"/>
        <v>Fur/Feathers</v>
      </c>
      <c r="W18" s="313" t="s">
        <v>479</v>
      </c>
      <c r="X18" s="313" t="s">
        <v>2519</v>
      </c>
      <c r="Y18" s="313" t="s">
        <v>2381</v>
      </c>
      <c r="Z18" s="313"/>
      <c r="AA18" s="313"/>
      <c r="AB18" s="313"/>
      <c r="AC18" s="313"/>
      <c r="AD18" s="315">
        <f t="shared" si="14"/>
        <v>5</v>
      </c>
      <c r="AE18" s="315">
        <f t="shared" si="11"/>
        <v>5</v>
      </c>
      <c r="AF18" s="313"/>
      <c r="AG18" s="313"/>
      <c r="AH18" s="313"/>
      <c r="AI18" s="313"/>
      <c r="AJ18" s="313"/>
      <c r="AK18" s="313"/>
      <c r="AL18" s="313"/>
      <c r="AM18" s="313"/>
      <c r="AN18" s="313"/>
      <c r="AO18" s="313"/>
      <c r="AP18" s="313"/>
      <c r="AQ18" s="313"/>
      <c r="AR18" s="313"/>
      <c r="AS18" s="313"/>
      <c r="AT18" s="313"/>
      <c r="AU18" s="313"/>
      <c r="AV18" s="313"/>
      <c r="AX18" s="315">
        <f t="shared" si="12"/>
        <v>100</v>
      </c>
      <c r="AY18" s="315">
        <f t="shared" si="13"/>
        <v>0</v>
      </c>
      <c r="AZ18" s="313" t="s">
        <v>659</v>
      </c>
      <c r="BA18" s="313" t="s">
        <v>2498</v>
      </c>
      <c r="BB18" s="313" t="s">
        <v>781</v>
      </c>
      <c r="BC18" s="313" t="s">
        <v>2520</v>
      </c>
      <c r="BD18" s="315" t="s">
        <v>2380</v>
      </c>
      <c r="BE18" s="313" t="s">
        <v>2521</v>
      </c>
      <c r="BF18" s="315">
        <v>2</v>
      </c>
      <c r="BG18" s="313" t="s">
        <v>2421</v>
      </c>
      <c r="BH18" s="313">
        <v>200</v>
      </c>
      <c r="BI18" s="313">
        <v>100</v>
      </c>
      <c r="BJ18" s="317" t="s">
        <v>2437</v>
      </c>
      <c r="BK18" s="313">
        <v>-4</v>
      </c>
      <c r="BL18" s="313">
        <v>1</v>
      </c>
      <c r="BM18" s="313">
        <v>2</v>
      </c>
      <c r="BN18" s="313">
        <v>0</v>
      </c>
      <c r="BO18" s="313">
        <v>0</v>
      </c>
      <c r="BP18" s="313"/>
    </row>
    <row r="19" spans="1:85">
      <c r="A19" s="313" t="s">
        <v>2382</v>
      </c>
      <c r="B19" s="315">
        <f t="shared" si="0"/>
        <v>1</v>
      </c>
      <c r="C19" s="313" t="str">
        <f t="shared" si="1"/>
        <v>Omnivore</v>
      </c>
      <c r="D19" s="313" t="str">
        <f t="shared" si="2"/>
        <v>Non-threatening</v>
      </c>
      <c r="E19" s="315">
        <v>0</v>
      </c>
      <c r="F19" s="315">
        <v>0</v>
      </c>
      <c r="G19" s="315">
        <v>0</v>
      </c>
      <c r="H19" s="315">
        <v>0</v>
      </c>
      <c r="I19" s="315">
        <v>0</v>
      </c>
      <c r="J19" s="315">
        <v>0</v>
      </c>
      <c r="K19" s="315">
        <v>0</v>
      </c>
      <c r="L19" s="315">
        <v>0</v>
      </c>
      <c r="M19" s="315">
        <v>15</v>
      </c>
      <c r="N19" s="315">
        <v>0</v>
      </c>
      <c r="O19" s="315">
        <f t="shared" si="3"/>
        <v>0</v>
      </c>
      <c r="P19" s="315">
        <f t="shared" si="4"/>
        <v>6</v>
      </c>
      <c r="Q19" s="315" t="str">
        <f t="shared" si="15"/>
        <v>Light Hide</v>
      </c>
      <c r="R19" s="315" t="str">
        <f t="shared" si="6"/>
        <v>Light Hide</v>
      </c>
      <c r="S19" s="315" t="str">
        <f t="shared" si="7"/>
        <v>Light Hide</v>
      </c>
      <c r="T19" s="315" t="str">
        <f t="shared" si="8"/>
        <v>Light Hide</v>
      </c>
      <c r="U19" s="315" t="str">
        <f t="shared" si="9"/>
        <v>Light Hide</v>
      </c>
      <c r="V19" s="315" t="str">
        <f t="shared" si="10"/>
        <v>Light Hide</v>
      </c>
      <c r="W19" s="313" t="s">
        <v>443</v>
      </c>
      <c r="X19" s="313" t="s">
        <v>2390</v>
      </c>
      <c r="Y19" s="313"/>
      <c r="Z19" s="313"/>
      <c r="AA19" s="313"/>
      <c r="AB19" s="313"/>
      <c r="AC19" s="313"/>
      <c r="AD19" s="315">
        <f t="shared" si="14"/>
        <v>5</v>
      </c>
      <c r="AE19" s="315">
        <f t="shared" si="11"/>
        <v>5</v>
      </c>
      <c r="AF19" s="313"/>
      <c r="AG19" s="313"/>
      <c r="AH19" s="313"/>
      <c r="AI19" s="313"/>
      <c r="AJ19" s="313"/>
      <c r="AK19" s="313"/>
      <c r="AL19" s="313"/>
      <c r="AM19" s="313"/>
      <c r="AN19" s="313"/>
      <c r="AO19" s="313"/>
      <c r="AP19" s="313"/>
      <c r="AQ19" s="313"/>
      <c r="AR19" s="313"/>
      <c r="AS19" s="313"/>
      <c r="AT19" s="313"/>
      <c r="AU19" s="313"/>
      <c r="AV19" s="313"/>
      <c r="AX19" s="315">
        <f t="shared" si="12"/>
        <v>0</v>
      </c>
      <c r="AY19" s="315">
        <f t="shared" si="13"/>
        <v>0</v>
      </c>
      <c r="AZ19" s="313" t="s">
        <v>659</v>
      </c>
      <c r="BA19" s="313" t="s">
        <v>2387</v>
      </c>
      <c r="BB19" s="313" t="s">
        <v>2382</v>
      </c>
      <c r="BC19" s="313" t="s">
        <v>2389</v>
      </c>
      <c r="BD19" s="315">
        <v>1</v>
      </c>
      <c r="BE19" s="313" t="s">
        <v>2521</v>
      </c>
      <c r="BF19" s="315">
        <v>0</v>
      </c>
      <c r="BG19" s="313" t="s">
        <v>2421</v>
      </c>
      <c r="BH19" s="313">
        <v>24000</v>
      </c>
      <c r="BI19" s="313">
        <v>0</v>
      </c>
      <c r="BJ19" s="313" t="s">
        <v>2395</v>
      </c>
      <c r="BK19" s="313">
        <v>0</v>
      </c>
      <c r="BL19" s="313">
        <v>1</v>
      </c>
      <c r="BM19" s="313">
        <v>6</v>
      </c>
      <c r="BN19" s="313">
        <v>0</v>
      </c>
      <c r="BO19" s="313">
        <v>0</v>
      </c>
      <c r="BP19" s="313"/>
      <c r="CG19" s="313"/>
    </row>
    <row r="20" spans="1:85">
      <c r="A20" s="313" t="s">
        <v>2383</v>
      </c>
      <c r="B20" s="315" t="str">
        <f t="shared" ref="B20:B23" si="16">BD20</f>
        <v>1D6</v>
      </c>
      <c r="C20" s="313" t="str">
        <f t="shared" ref="C20:C23" si="17">BC20</f>
        <v>Herbivore</v>
      </c>
      <c r="D20" s="313" t="str">
        <f t="shared" ref="D20:D23" si="18">BE20</f>
        <v>Non-threatening</v>
      </c>
      <c r="E20" s="315">
        <v>0</v>
      </c>
      <c r="F20" s="315">
        <v>0</v>
      </c>
      <c r="G20" s="315">
        <v>0</v>
      </c>
      <c r="H20" s="315">
        <v>0</v>
      </c>
      <c r="I20" s="315">
        <v>0</v>
      </c>
      <c r="J20" s="315">
        <v>0</v>
      </c>
      <c r="K20" s="315">
        <v>0</v>
      </c>
      <c r="L20" s="315">
        <v>0</v>
      </c>
      <c r="M20" s="315">
        <v>15</v>
      </c>
      <c r="N20" s="315">
        <v>0</v>
      </c>
      <c r="O20" s="315">
        <f t="shared" ref="O20:O23" si="19">BF20</f>
        <v>3</v>
      </c>
      <c r="P20" s="315">
        <f t="shared" ref="P20:P23" si="20">LOOKUP(BH20,$BU$54:$BU$71,$BS$54:$BS$71)</f>
        <v>-9</v>
      </c>
      <c r="Q20" s="315" t="str">
        <f t="shared" ref="Q20:Q23" si="21">BJ20</f>
        <v>Exoskeleton</v>
      </c>
      <c r="R20" s="315" t="str">
        <f t="shared" ref="R20:R23" si="22">Q20</f>
        <v>Exoskeleton</v>
      </c>
      <c r="S20" s="315" t="str">
        <f t="shared" ref="S20:S23" si="23">Q20</f>
        <v>Exoskeleton</v>
      </c>
      <c r="T20" s="315" t="str">
        <f t="shared" ref="T20:T23" si="24">Q20</f>
        <v>Exoskeleton</v>
      </c>
      <c r="U20" s="315" t="str">
        <f t="shared" ref="U20:U23" si="25">Q20</f>
        <v>Exoskeleton</v>
      </c>
      <c r="V20" s="315" t="str">
        <f t="shared" ref="V20:V23" si="26">Q20</f>
        <v>Exoskeleton</v>
      </c>
      <c r="W20" s="313" t="s">
        <v>444</v>
      </c>
      <c r="X20" s="313" t="s">
        <v>2379</v>
      </c>
      <c r="Y20" s="313" t="s">
        <v>2379</v>
      </c>
      <c r="Z20" s="313"/>
      <c r="AA20" s="313"/>
      <c r="AB20" s="313"/>
      <c r="AC20" s="313"/>
      <c r="AD20" s="315">
        <f t="shared" si="14"/>
        <v>5</v>
      </c>
      <c r="AE20" s="315">
        <f t="shared" ref="AE20:AE23" si="27">AD20</f>
        <v>5</v>
      </c>
      <c r="AF20" s="313"/>
      <c r="AG20" s="313"/>
      <c r="AH20" s="313"/>
      <c r="AI20" s="313"/>
      <c r="AJ20" s="313"/>
      <c r="AK20" s="313"/>
      <c r="AL20" s="313"/>
      <c r="AM20" s="313"/>
      <c r="AN20" s="313"/>
      <c r="AO20" s="313"/>
      <c r="AP20" s="313"/>
      <c r="AQ20" s="313"/>
      <c r="AR20" s="313"/>
      <c r="AS20" s="313"/>
      <c r="AT20" s="313"/>
      <c r="AU20" s="313"/>
      <c r="AV20" s="313"/>
      <c r="AX20" s="315">
        <f t="shared" ref="AX20:AX23" si="28">BI20</f>
        <v>1</v>
      </c>
      <c r="AY20" s="315">
        <f t="shared" ref="AY20:AY23" si="29">BP20</f>
        <v>0</v>
      </c>
      <c r="AZ20" s="313" t="s">
        <v>885</v>
      </c>
      <c r="BA20" s="313" t="s">
        <v>2388</v>
      </c>
      <c r="BB20" s="313" t="s">
        <v>2383</v>
      </c>
      <c r="BC20" s="313" t="s">
        <v>2520</v>
      </c>
      <c r="BD20" s="315" t="s">
        <v>2380</v>
      </c>
      <c r="BE20" s="313" t="s">
        <v>2521</v>
      </c>
      <c r="BF20" s="315">
        <v>3</v>
      </c>
      <c r="BG20" s="313" t="s">
        <v>2421</v>
      </c>
      <c r="BH20" s="313">
        <v>2</v>
      </c>
      <c r="BI20" s="313">
        <v>1</v>
      </c>
      <c r="BJ20" s="313" t="s">
        <v>2391</v>
      </c>
      <c r="BK20" s="313">
        <v>-6</v>
      </c>
      <c r="BL20" s="313">
        <v>1</v>
      </c>
      <c r="BM20" s="313">
        <v>2</v>
      </c>
      <c r="BN20" s="313">
        <v>0</v>
      </c>
      <c r="BO20" s="313">
        <v>0</v>
      </c>
      <c r="BP20" s="313"/>
      <c r="CG20" s="313"/>
    </row>
    <row r="21" spans="1:85">
      <c r="A21" s="313" t="s">
        <v>2384</v>
      </c>
      <c r="B21" s="315">
        <f t="shared" si="16"/>
        <v>1</v>
      </c>
      <c r="C21" s="313" t="str">
        <f t="shared" si="17"/>
        <v>Carnivore</v>
      </c>
      <c r="D21" s="313" t="str">
        <f t="shared" si="18"/>
        <v>Dangerous</v>
      </c>
      <c r="E21" s="315">
        <v>0</v>
      </c>
      <c r="F21" s="315">
        <v>0</v>
      </c>
      <c r="G21" s="315">
        <v>0</v>
      </c>
      <c r="H21" s="315">
        <v>0</v>
      </c>
      <c r="I21" s="315">
        <v>0</v>
      </c>
      <c r="J21" s="315">
        <v>0</v>
      </c>
      <c r="K21" s="315">
        <v>0</v>
      </c>
      <c r="L21" s="315">
        <v>0</v>
      </c>
      <c r="M21" s="315">
        <v>15</v>
      </c>
      <c r="N21" s="315">
        <v>0</v>
      </c>
      <c r="O21" s="315">
        <f t="shared" si="19"/>
        <v>8</v>
      </c>
      <c r="P21" s="315">
        <f t="shared" si="20"/>
        <v>6</v>
      </c>
      <c r="Q21" s="315" t="str">
        <f t="shared" si="21"/>
        <v>Light Hide</v>
      </c>
      <c r="R21" s="315" t="str">
        <f t="shared" si="22"/>
        <v>Light Hide</v>
      </c>
      <c r="S21" s="315" t="str">
        <f t="shared" si="23"/>
        <v>Light Hide</v>
      </c>
      <c r="T21" s="315" t="str">
        <f t="shared" si="24"/>
        <v>Light Hide</v>
      </c>
      <c r="U21" s="315" t="str">
        <f t="shared" si="25"/>
        <v>Light Hide</v>
      </c>
      <c r="V21" s="315" t="str">
        <f t="shared" si="26"/>
        <v>Light Hide</v>
      </c>
      <c r="W21" s="313" t="s">
        <v>445</v>
      </c>
      <c r="X21" s="313" t="s">
        <v>2406</v>
      </c>
      <c r="Y21" s="313" t="s">
        <v>2519</v>
      </c>
      <c r="Z21" s="313"/>
      <c r="AA21" s="313"/>
      <c r="AB21" s="313"/>
      <c r="AC21" s="313"/>
      <c r="AD21" s="315">
        <f t="shared" si="14"/>
        <v>10</v>
      </c>
      <c r="AE21" s="315">
        <f t="shared" si="27"/>
        <v>10</v>
      </c>
      <c r="AF21" s="313"/>
      <c r="AG21" s="313"/>
      <c r="AH21" s="313"/>
      <c r="AI21" s="313"/>
      <c r="AJ21" s="313"/>
      <c r="AK21" s="313"/>
      <c r="AL21" s="313"/>
      <c r="AM21" s="313"/>
      <c r="AN21" s="313"/>
      <c r="AO21" s="313"/>
      <c r="AP21" s="313"/>
      <c r="AQ21" s="313"/>
      <c r="AR21" s="313"/>
      <c r="AS21" s="313"/>
      <c r="AT21" s="313"/>
      <c r="AU21" s="313"/>
      <c r="AV21" s="313"/>
      <c r="AX21" s="315">
        <f t="shared" si="28"/>
        <v>100</v>
      </c>
      <c r="AY21" s="315">
        <f t="shared" si="29"/>
        <v>0</v>
      </c>
      <c r="AZ21" s="313" t="s">
        <v>885</v>
      </c>
      <c r="BA21" s="313" t="s">
        <v>2388</v>
      </c>
      <c r="BB21" s="313" t="s">
        <v>2384</v>
      </c>
      <c r="BC21" s="313" t="s">
        <v>2398</v>
      </c>
      <c r="BD21" s="315">
        <v>1</v>
      </c>
      <c r="BE21" s="313" t="s">
        <v>2231</v>
      </c>
      <c r="BF21" s="315">
        <v>8</v>
      </c>
      <c r="BG21" s="313" t="s">
        <v>2392</v>
      </c>
      <c r="BH21" s="313">
        <v>24000</v>
      </c>
      <c r="BI21" s="313">
        <v>100</v>
      </c>
      <c r="BJ21" s="313" t="s">
        <v>2395</v>
      </c>
      <c r="BK21" s="313">
        <v>0</v>
      </c>
      <c r="BL21" s="313">
        <v>1</v>
      </c>
      <c r="BM21" s="313">
        <v>6</v>
      </c>
      <c r="BN21" s="313">
        <v>5</v>
      </c>
      <c r="BO21" s="313">
        <v>10</v>
      </c>
      <c r="BP21" s="313"/>
      <c r="BR21" s="312" t="s">
        <v>574</v>
      </c>
      <c r="CG21" s="313"/>
    </row>
    <row r="22" spans="1:85">
      <c r="A22" s="313" t="s">
        <v>2385</v>
      </c>
      <c r="B22" s="315" t="str">
        <f t="shared" si="16"/>
        <v>1D6</v>
      </c>
      <c r="C22" s="313" t="str">
        <f t="shared" si="17"/>
        <v>Herbivore</v>
      </c>
      <c r="D22" s="313" t="str">
        <f t="shared" si="18"/>
        <v>Non-threatening</v>
      </c>
      <c r="E22" s="315">
        <v>0</v>
      </c>
      <c r="F22" s="315">
        <v>0</v>
      </c>
      <c r="G22" s="315">
        <v>0</v>
      </c>
      <c r="H22" s="315">
        <v>0</v>
      </c>
      <c r="I22" s="315">
        <v>0</v>
      </c>
      <c r="J22" s="315">
        <v>0</v>
      </c>
      <c r="K22" s="315">
        <v>0</v>
      </c>
      <c r="L22" s="315">
        <v>0</v>
      </c>
      <c r="M22" s="315">
        <v>15</v>
      </c>
      <c r="N22" s="315">
        <v>0</v>
      </c>
      <c r="O22" s="315">
        <f t="shared" si="19"/>
        <v>0</v>
      </c>
      <c r="P22" s="315">
        <f t="shared" si="20"/>
        <v>-3</v>
      </c>
      <c r="Q22" s="315" t="str">
        <f t="shared" si="21"/>
        <v>Skin</v>
      </c>
      <c r="R22" s="315" t="str">
        <f t="shared" si="22"/>
        <v>Skin</v>
      </c>
      <c r="S22" s="315" t="str">
        <f t="shared" si="23"/>
        <v>Skin</v>
      </c>
      <c r="T22" s="315" t="str">
        <f t="shared" si="24"/>
        <v>Skin</v>
      </c>
      <c r="U22" s="315" t="str">
        <f t="shared" si="25"/>
        <v>Skin</v>
      </c>
      <c r="V22" s="315" t="str">
        <f t="shared" si="26"/>
        <v>Skin</v>
      </c>
      <c r="W22" s="313" t="s">
        <v>446</v>
      </c>
      <c r="X22" s="313" t="s">
        <v>2519</v>
      </c>
      <c r="Y22" s="313"/>
      <c r="Z22" s="313"/>
      <c r="AA22" s="313"/>
      <c r="AB22" s="313"/>
      <c r="AC22" s="313"/>
      <c r="AD22" s="315">
        <f t="shared" si="14"/>
        <v>10</v>
      </c>
      <c r="AE22" s="315">
        <f t="shared" si="27"/>
        <v>10</v>
      </c>
      <c r="AF22" s="313"/>
      <c r="AG22" s="313"/>
      <c r="AH22" s="313"/>
      <c r="AI22" s="313"/>
      <c r="AJ22" s="313"/>
      <c r="AK22" s="313"/>
      <c r="AL22" s="313"/>
      <c r="AM22" s="313"/>
      <c r="AN22" s="313"/>
      <c r="AO22" s="313"/>
      <c r="AP22" s="313"/>
      <c r="AQ22" s="313"/>
      <c r="AR22" s="313"/>
      <c r="AS22" s="313"/>
      <c r="AT22" s="313"/>
      <c r="AU22" s="313"/>
      <c r="AV22" s="313"/>
      <c r="AX22" s="315">
        <f t="shared" si="28"/>
        <v>0</v>
      </c>
      <c r="AY22" s="315">
        <f t="shared" si="29"/>
        <v>0</v>
      </c>
      <c r="AZ22" s="313" t="s">
        <v>885</v>
      </c>
      <c r="BA22" s="313" t="s">
        <v>2388</v>
      </c>
      <c r="BB22" s="313" t="s">
        <v>2385</v>
      </c>
      <c r="BC22" s="313" t="s">
        <v>2520</v>
      </c>
      <c r="BD22" s="315" t="s">
        <v>2380</v>
      </c>
      <c r="BE22" s="313" t="s">
        <v>2521</v>
      </c>
      <c r="BF22" s="315">
        <v>0</v>
      </c>
      <c r="BG22" s="313" t="s">
        <v>2392</v>
      </c>
      <c r="BH22" s="313">
        <v>20</v>
      </c>
      <c r="BI22" s="313">
        <v>0</v>
      </c>
      <c r="BJ22" s="317" t="s">
        <v>2438</v>
      </c>
      <c r="BK22" s="313">
        <v>0</v>
      </c>
      <c r="BL22" s="313">
        <v>1</v>
      </c>
      <c r="BM22" s="313">
        <v>2</v>
      </c>
      <c r="BN22" s="313">
        <v>0</v>
      </c>
      <c r="BO22" s="313">
        <v>0</v>
      </c>
      <c r="BP22" s="313"/>
      <c r="BR22" s="314" t="s">
        <v>696</v>
      </c>
      <c r="BS22" s="314" t="s">
        <v>697</v>
      </c>
      <c r="BT22" s="314" t="s">
        <v>698</v>
      </c>
      <c r="BU22" s="314" t="s">
        <v>588</v>
      </c>
      <c r="BV22" s="314" t="s">
        <v>589</v>
      </c>
      <c r="BW22" s="314" t="s">
        <v>590</v>
      </c>
      <c r="BX22" s="314" t="s">
        <v>591</v>
      </c>
      <c r="BY22" s="314" t="s">
        <v>592</v>
      </c>
      <c r="BZ22" s="314" t="s">
        <v>514</v>
      </c>
      <c r="CG22" s="313"/>
    </row>
    <row r="23" spans="1:85">
      <c r="A23" s="313" t="s">
        <v>2386</v>
      </c>
      <c r="B23" s="315" t="str">
        <f t="shared" si="16"/>
        <v>2D6</v>
      </c>
      <c r="C23" s="313" t="str">
        <f t="shared" si="17"/>
        <v>Carnivore</v>
      </c>
      <c r="D23" s="313" t="str">
        <f t="shared" si="18"/>
        <v>Aggressive</v>
      </c>
      <c r="E23" s="315">
        <v>0</v>
      </c>
      <c r="F23" s="315">
        <v>0</v>
      </c>
      <c r="G23" s="315">
        <v>0</v>
      </c>
      <c r="H23" s="315">
        <v>0</v>
      </c>
      <c r="I23" s="315">
        <v>0</v>
      </c>
      <c r="J23" s="315">
        <v>0</v>
      </c>
      <c r="K23" s="315">
        <v>0</v>
      </c>
      <c r="L23" s="315">
        <v>0</v>
      </c>
      <c r="M23" s="315">
        <v>15</v>
      </c>
      <c r="N23" s="315">
        <v>0</v>
      </c>
      <c r="O23" s="315">
        <f t="shared" si="19"/>
        <v>5</v>
      </c>
      <c r="P23" s="315">
        <f t="shared" si="20"/>
        <v>-8</v>
      </c>
      <c r="Q23" s="315" t="str">
        <f t="shared" si="21"/>
        <v>Fur/Feathers</v>
      </c>
      <c r="R23" s="315" t="str">
        <f t="shared" si="22"/>
        <v>Fur/Feathers</v>
      </c>
      <c r="S23" s="315" t="str">
        <f t="shared" si="23"/>
        <v>Fur/Feathers</v>
      </c>
      <c r="T23" s="315" t="str">
        <f t="shared" si="24"/>
        <v>Fur/Feathers</v>
      </c>
      <c r="U23" s="315" t="str">
        <f t="shared" si="25"/>
        <v>Fur/Feathers</v>
      </c>
      <c r="V23" s="315" t="str">
        <f t="shared" si="26"/>
        <v>Fur/Feathers</v>
      </c>
      <c r="W23" s="313" t="s">
        <v>447</v>
      </c>
      <c r="X23" s="313" t="s">
        <v>543</v>
      </c>
      <c r="Y23" s="313" t="s">
        <v>625</v>
      </c>
      <c r="Z23" s="313" t="s">
        <v>625</v>
      </c>
      <c r="AA23" s="313"/>
      <c r="AB23" s="313"/>
      <c r="AC23" s="313"/>
      <c r="AD23" s="315">
        <f t="shared" si="14"/>
        <v>10</v>
      </c>
      <c r="AE23" s="315">
        <f t="shared" si="27"/>
        <v>10</v>
      </c>
      <c r="AF23" s="313"/>
      <c r="AG23" s="313"/>
      <c r="AH23" s="313"/>
      <c r="AI23" s="313"/>
      <c r="AJ23" s="313"/>
      <c r="AK23" s="313"/>
      <c r="AL23" s="313"/>
      <c r="AM23" s="313"/>
      <c r="AN23" s="313"/>
      <c r="AO23" s="313"/>
      <c r="AP23" s="313"/>
      <c r="AQ23" s="313"/>
      <c r="AR23" s="313"/>
      <c r="AS23" s="313"/>
      <c r="AT23" s="313"/>
      <c r="AU23" s="313"/>
      <c r="AV23" s="313"/>
      <c r="AX23" s="315">
        <f t="shared" si="28"/>
        <v>120</v>
      </c>
      <c r="AY23" s="315">
        <f t="shared" si="29"/>
        <v>0</v>
      </c>
      <c r="AZ23" s="313" t="s">
        <v>885</v>
      </c>
      <c r="BA23" s="313" t="s">
        <v>2388</v>
      </c>
      <c r="BB23" s="313" t="s">
        <v>2386</v>
      </c>
      <c r="BC23" s="313" t="s">
        <v>2398</v>
      </c>
      <c r="BD23" s="315" t="s">
        <v>2401</v>
      </c>
      <c r="BE23" s="313" t="s">
        <v>2469</v>
      </c>
      <c r="BF23" s="315">
        <v>5</v>
      </c>
      <c r="BG23" s="313" t="s">
        <v>2392</v>
      </c>
      <c r="BH23" s="313">
        <v>5</v>
      </c>
      <c r="BI23" s="313">
        <v>120</v>
      </c>
      <c r="BJ23" s="317" t="s">
        <v>2437</v>
      </c>
      <c r="BK23" s="313">
        <v>0</v>
      </c>
      <c r="BL23" s="313">
        <v>1</v>
      </c>
      <c r="BM23" s="313">
        <v>1</v>
      </c>
      <c r="BN23" s="313">
        <v>1</v>
      </c>
      <c r="BO23" s="313">
        <v>0</v>
      </c>
      <c r="BP23" s="313"/>
      <c r="BR23" s="315">
        <v>1</v>
      </c>
      <c r="BS23" s="315">
        <v>-2</v>
      </c>
      <c r="BT23" s="315">
        <v>130</v>
      </c>
      <c r="BU23" s="315">
        <v>0</v>
      </c>
      <c r="BV23" s="315">
        <v>-6</v>
      </c>
      <c r="BW23" s="315">
        <v>1</v>
      </c>
      <c r="BX23" s="315">
        <v>1</v>
      </c>
      <c r="BY23" s="315">
        <v>1</v>
      </c>
      <c r="BZ23" s="315" t="s">
        <v>515</v>
      </c>
      <c r="CG23" s="313"/>
    </row>
    <row r="24" spans="1:85">
      <c r="A24" s="313" t="s">
        <v>556</v>
      </c>
      <c r="B24" s="315" t="str">
        <f t="shared" ref="B24:B56" si="30">BD24</f>
        <v>2D10</v>
      </c>
      <c r="C24" s="313" t="str">
        <f t="shared" ref="C24:C56" si="31">BC24</f>
        <v>Herbivore</v>
      </c>
      <c r="D24" s="313" t="str">
        <f t="shared" ref="D24:D56" si="32">BE24</f>
        <v>Non-threatening</v>
      </c>
      <c r="E24" s="315">
        <v>0</v>
      </c>
      <c r="F24" s="315">
        <v>0</v>
      </c>
      <c r="G24" s="315">
        <v>0</v>
      </c>
      <c r="H24" s="315">
        <v>0</v>
      </c>
      <c r="I24" s="315">
        <v>0</v>
      </c>
      <c r="J24" s="315">
        <v>0</v>
      </c>
      <c r="K24" s="315">
        <v>0</v>
      </c>
      <c r="L24" s="315">
        <v>0</v>
      </c>
      <c r="M24" s="315">
        <v>15</v>
      </c>
      <c r="N24" s="315">
        <v>0</v>
      </c>
      <c r="O24" s="315">
        <f t="shared" ref="O24:O56" si="33">BF24</f>
        <v>2</v>
      </c>
      <c r="P24" s="315">
        <f t="shared" ref="P24:P56" si="34">LOOKUP(BH24,$BU$54:$BU$71,$BS$54:$BS$71)</f>
        <v>-3</v>
      </c>
      <c r="Q24" s="315" t="str">
        <f t="shared" ref="Q24:Q56" si="35">BJ24</f>
        <v>Light Hide</v>
      </c>
      <c r="R24" s="315" t="str">
        <f t="shared" ref="R24:R56" si="36">Q24</f>
        <v>Light Hide</v>
      </c>
      <c r="S24" s="315" t="str">
        <f t="shared" ref="S24:S56" si="37">Q24</f>
        <v>Light Hide</v>
      </c>
      <c r="T24" s="315" t="str">
        <f t="shared" ref="T24:T56" si="38">Q24</f>
        <v>Light Hide</v>
      </c>
      <c r="U24" s="315" t="str">
        <f t="shared" ref="U24:U56" si="39">Q24</f>
        <v>Light Hide</v>
      </c>
      <c r="V24" s="315" t="str">
        <f t="shared" ref="V24:V56" si="40">Q24</f>
        <v>Light Hide</v>
      </c>
      <c r="W24" s="313" t="s">
        <v>485</v>
      </c>
      <c r="X24" s="313" t="s">
        <v>736</v>
      </c>
      <c r="Y24" s="313"/>
      <c r="Z24" s="313"/>
      <c r="AA24" s="313"/>
      <c r="AB24" s="313"/>
      <c r="AC24" s="313"/>
      <c r="AD24" s="315">
        <f t="shared" si="14"/>
        <v>5</v>
      </c>
      <c r="AE24" s="315">
        <f t="shared" ref="AE24:AE56" si="41">AD24</f>
        <v>5</v>
      </c>
      <c r="AF24" s="313"/>
      <c r="AG24" s="313"/>
      <c r="AH24" s="313"/>
      <c r="AI24" s="313"/>
      <c r="AJ24" s="313"/>
      <c r="AK24" s="313"/>
      <c r="AL24" s="313"/>
      <c r="AM24" s="313"/>
      <c r="AN24" s="313"/>
      <c r="AO24" s="313"/>
      <c r="AP24" s="313"/>
      <c r="AQ24" s="313"/>
      <c r="AR24" s="313"/>
      <c r="AS24" s="313"/>
      <c r="AT24" s="313"/>
      <c r="AU24" s="313"/>
      <c r="AV24" s="313"/>
      <c r="AX24" s="315">
        <f t="shared" ref="AX24:AX56" si="42">BI24</f>
        <v>110</v>
      </c>
      <c r="AY24" s="315">
        <f t="shared" ref="AY24:AY56" si="43">BP24</f>
        <v>0</v>
      </c>
      <c r="AZ24" s="313" t="s">
        <v>601</v>
      </c>
      <c r="BA24" s="313" t="s">
        <v>647</v>
      </c>
      <c r="BB24" s="313" t="s">
        <v>556</v>
      </c>
      <c r="BC24" s="313" t="s">
        <v>733</v>
      </c>
      <c r="BD24" s="315" t="s">
        <v>734</v>
      </c>
      <c r="BE24" s="313" t="s">
        <v>541</v>
      </c>
      <c r="BF24" s="315">
        <v>2</v>
      </c>
      <c r="BG24" s="313" t="s">
        <v>542</v>
      </c>
      <c r="BH24" s="313">
        <v>40</v>
      </c>
      <c r="BI24" s="313">
        <v>110</v>
      </c>
      <c r="BJ24" s="313" t="s">
        <v>735</v>
      </c>
      <c r="BK24" s="313">
        <v>-2</v>
      </c>
      <c r="BL24" s="313">
        <v>5</v>
      </c>
      <c r="BM24" s="313">
        <v>4</v>
      </c>
      <c r="BN24" s="313">
        <v>1</v>
      </c>
      <c r="BO24" s="313">
        <v>0</v>
      </c>
      <c r="BP24" s="313"/>
      <c r="BR24" s="315">
        <v>2</v>
      </c>
      <c r="BS24" s="315">
        <v>5</v>
      </c>
      <c r="BT24" s="315">
        <v>120</v>
      </c>
      <c r="BU24" s="315">
        <v>0</v>
      </c>
      <c r="BV24" s="315">
        <v>-5</v>
      </c>
      <c r="BW24" s="315">
        <v>1</v>
      </c>
      <c r="BX24" s="315">
        <v>2</v>
      </c>
      <c r="BY24" s="315">
        <v>1</v>
      </c>
      <c r="BZ24" s="315" t="s">
        <v>515</v>
      </c>
      <c r="CG24" s="313"/>
    </row>
    <row r="25" spans="1:85">
      <c r="A25" s="313" t="s">
        <v>646</v>
      </c>
      <c r="B25" s="315" t="str">
        <f t="shared" si="30"/>
        <v>1D4</v>
      </c>
      <c r="C25" s="313" t="str">
        <f t="shared" si="31"/>
        <v>Omnivore</v>
      </c>
      <c r="D25" s="313" t="str">
        <f t="shared" si="32"/>
        <v>Non-threatening</v>
      </c>
      <c r="E25" s="315">
        <v>0</v>
      </c>
      <c r="F25" s="315">
        <v>0</v>
      </c>
      <c r="G25" s="315">
        <v>0</v>
      </c>
      <c r="H25" s="315">
        <v>0</v>
      </c>
      <c r="I25" s="315">
        <v>0</v>
      </c>
      <c r="J25" s="315">
        <v>0</v>
      </c>
      <c r="K25" s="315">
        <v>0</v>
      </c>
      <c r="L25" s="315">
        <v>0</v>
      </c>
      <c r="M25" s="315">
        <v>15</v>
      </c>
      <c r="N25" s="315">
        <v>0</v>
      </c>
      <c r="O25" s="315">
        <f t="shared" si="33"/>
        <v>3</v>
      </c>
      <c r="P25" s="315">
        <f t="shared" si="34"/>
        <v>-5</v>
      </c>
      <c r="Q25" s="315" t="str">
        <f t="shared" si="35"/>
        <v>Fur/Feathers</v>
      </c>
      <c r="R25" s="315" t="str">
        <f t="shared" si="36"/>
        <v>Fur/Feathers</v>
      </c>
      <c r="S25" s="315" t="str">
        <f t="shared" si="37"/>
        <v>Fur/Feathers</v>
      </c>
      <c r="T25" s="315" t="str">
        <f t="shared" si="38"/>
        <v>Fur/Feathers</v>
      </c>
      <c r="U25" s="315" t="str">
        <f t="shared" si="39"/>
        <v>Fur/Feathers</v>
      </c>
      <c r="V25" s="315" t="str">
        <f t="shared" si="40"/>
        <v>Fur/Feathers</v>
      </c>
      <c r="W25" s="313" t="s">
        <v>487</v>
      </c>
      <c r="X25" s="313" t="s">
        <v>543</v>
      </c>
      <c r="Y25" s="313" t="s">
        <v>625</v>
      </c>
      <c r="Z25" s="313" t="s">
        <v>625</v>
      </c>
      <c r="AA25" s="313"/>
      <c r="AB25" s="313"/>
      <c r="AC25" s="313"/>
      <c r="AD25" s="315">
        <f t="shared" si="14"/>
        <v>5</v>
      </c>
      <c r="AE25" s="315">
        <f t="shared" si="41"/>
        <v>5</v>
      </c>
      <c r="AF25" s="313"/>
      <c r="AG25" s="313"/>
      <c r="AH25" s="313"/>
      <c r="AI25" s="313"/>
      <c r="AJ25" s="313"/>
      <c r="AK25" s="313"/>
      <c r="AL25" s="313"/>
      <c r="AM25" s="313"/>
      <c r="AN25" s="313"/>
      <c r="AO25" s="313"/>
      <c r="AP25" s="313"/>
      <c r="AQ25" s="313"/>
      <c r="AR25" s="313"/>
      <c r="AS25" s="313"/>
      <c r="AT25" s="313"/>
      <c r="AU25" s="313"/>
      <c r="AV25" s="313"/>
      <c r="AX25" s="315">
        <f t="shared" si="42"/>
        <v>100</v>
      </c>
      <c r="AY25" s="315">
        <f t="shared" si="43"/>
        <v>0</v>
      </c>
      <c r="AZ25" s="313" t="s">
        <v>601</v>
      </c>
      <c r="BA25" s="313" t="s">
        <v>647</v>
      </c>
      <c r="BB25" s="313" t="s">
        <v>646</v>
      </c>
      <c r="BC25" s="313" t="s">
        <v>539</v>
      </c>
      <c r="BD25" s="315" t="s">
        <v>540</v>
      </c>
      <c r="BE25" s="313" t="s">
        <v>541</v>
      </c>
      <c r="BF25" s="315">
        <v>3</v>
      </c>
      <c r="BG25" s="313" t="s">
        <v>542</v>
      </c>
      <c r="BH25" s="313">
        <v>10</v>
      </c>
      <c r="BI25" s="313">
        <v>100</v>
      </c>
      <c r="BJ25" s="317" t="s">
        <v>2437</v>
      </c>
      <c r="BK25" s="313">
        <v>-4</v>
      </c>
      <c r="BL25" s="313">
        <v>1</v>
      </c>
      <c r="BM25" s="313">
        <v>1</v>
      </c>
      <c r="BN25" s="313">
        <v>8</v>
      </c>
      <c r="BO25" s="313">
        <v>0</v>
      </c>
      <c r="BP25" s="313"/>
      <c r="BR25" s="315">
        <v>3</v>
      </c>
      <c r="BS25" s="315">
        <v>10</v>
      </c>
      <c r="BT25" s="315">
        <v>110</v>
      </c>
      <c r="BU25" s="315">
        <v>0</v>
      </c>
      <c r="BV25" s="315">
        <v>-4</v>
      </c>
      <c r="BW25" s="315">
        <v>1</v>
      </c>
      <c r="BX25" s="315">
        <v>3</v>
      </c>
      <c r="BY25" s="315">
        <v>1</v>
      </c>
      <c r="BZ25" s="315" t="s">
        <v>515</v>
      </c>
      <c r="CG25" s="313"/>
    </row>
    <row r="26" spans="1:85">
      <c r="A26" s="313" t="s">
        <v>557</v>
      </c>
      <c r="B26" s="315" t="str">
        <f t="shared" si="30"/>
        <v>2D6</v>
      </c>
      <c r="C26" s="313" t="str">
        <f t="shared" si="31"/>
        <v>Carnivore</v>
      </c>
      <c r="D26" s="313" t="str">
        <f t="shared" si="32"/>
        <v>Dangerous</v>
      </c>
      <c r="E26" s="315">
        <v>0</v>
      </c>
      <c r="F26" s="315">
        <v>0</v>
      </c>
      <c r="G26" s="315">
        <v>0</v>
      </c>
      <c r="H26" s="315">
        <v>0</v>
      </c>
      <c r="I26" s="315">
        <v>0</v>
      </c>
      <c r="J26" s="315">
        <v>0</v>
      </c>
      <c r="K26" s="315">
        <v>0</v>
      </c>
      <c r="L26" s="315">
        <v>0</v>
      </c>
      <c r="M26" s="315">
        <v>15</v>
      </c>
      <c r="N26" s="315">
        <v>0</v>
      </c>
      <c r="O26" s="315">
        <f t="shared" si="33"/>
        <v>6</v>
      </c>
      <c r="P26" s="315">
        <f t="shared" si="34"/>
        <v>-3</v>
      </c>
      <c r="Q26" s="315" t="str">
        <f t="shared" si="35"/>
        <v>Fur/Feathers</v>
      </c>
      <c r="R26" s="315" t="str">
        <f t="shared" si="36"/>
        <v>Fur/Feathers</v>
      </c>
      <c r="S26" s="315" t="str">
        <f t="shared" si="37"/>
        <v>Fur/Feathers</v>
      </c>
      <c r="T26" s="315" t="str">
        <f t="shared" si="38"/>
        <v>Fur/Feathers</v>
      </c>
      <c r="U26" s="315" t="str">
        <f t="shared" si="39"/>
        <v>Fur/Feathers</v>
      </c>
      <c r="V26" s="315" t="str">
        <f t="shared" si="40"/>
        <v>Fur/Feathers</v>
      </c>
      <c r="W26" s="313" t="s">
        <v>683</v>
      </c>
      <c r="X26" s="313" t="s">
        <v>543</v>
      </c>
      <c r="Y26" s="313" t="s">
        <v>625</v>
      </c>
      <c r="Z26" s="313" t="s">
        <v>625</v>
      </c>
      <c r="AA26" s="313"/>
      <c r="AB26" s="313"/>
      <c r="AC26" s="313"/>
      <c r="AD26" s="315">
        <f t="shared" si="14"/>
        <v>10</v>
      </c>
      <c r="AE26" s="315">
        <f t="shared" si="41"/>
        <v>10</v>
      </c>
      <c r="AF26" s="313"/>
      <c r="AG26" s="313"/>
      <c r="AH26" s="313"/>
      <c r="AI26" s="313"/>
      <c r="AJ26" s="313"/>
      <c r="AK26" s="313"/>
      <c r="AL26" s="313"/>
      <c r="AM26" s="313"/>
      <c r="AN26" s="313"/>
      <c r="AO26" s="313"/>
      <c r="AP26" s="313"/>
      <c r="AQ26" s="313"/>
      <c r="AR26" s="313"/>
      <c r="AS26" s="313"/>
      <c r="AT26" s="313"/>
      <c r="AU26" s="313"/>
      <c r="AV26" s="313"/>
      <c r="AX26" s="315">
        <f t="shared" si="42"/>
        <v>110</v>
      </c>
      <c r="AY26" s="315">
        <f t="shared" si="43"/>
        <v>0</v>
      </c>
      <c r="AZ26" s="313" t="s">
        <v>601</v>
      </c>
      <c r="BA26" s="313" t="s">
        <v>558</v>
      </c>
      <c r="BB26" s="313" t="s">
        <v>557</v>
      </c>
      <c r="BC26" s="313" t="s">
        <v>737</v>
      </c>
      <c r="BD26" s="315" t="s">
        <v>738</v>
      </c>
      <c r="BE26" s="313" t="s">
        <v>677</v>
      </c>
      <c r="BF26" s="315">
        <v>6</v>
      </c>
      <c r="BG26" s="313" t="s">
        <v>740</v>
      </c>
      <c r="BH26" s="313">
        <v>40</v>
      </c>
      <c r="BI26" s="313">
        <v>110</v>
      </c>
      <c r="BJ26" s="317" t="s">
        <v>2437</v>
      </c>
      <c r="BK26" s="313">
        <v>-2</v>
      </c>
      <c r="BL26" s="313">
        <v>5</v>
      </c>
      <c r="BM26" s="313">
        <v>4</v>
      </c>
      <c r="BN26" s="313">
        <v>1</v>
      </c>
      <c r="BO26" s="313">
        <v>-3</v>
      </c>
      <c r="BP26" s="313"/>
      <c r="BR26" s="315">
        <v>4</v>
      </c>
      <c r="BS26" s="315">
        <v>20</v>
      </c>
      <c r="BT26" s="315">
        <v>100</v>
      </c>
      <c r="BU26" s="315">
        <v>0</v>
      </c>
      <c r="BV26" s="315">
        <v>-3</v>
      </c>
      <c r="BW26" s="315">
        <v>1</v>
      </c>
      <c r="BX26" s="315">
        <v>4</v>
      </c>
      <c r="BY26" s="315">
        <v>1</v>
      </c>
      <c r="BZ26" s="315">
        <v>-6</v>
      </c>
      <c r="CG26" s="313"/>
    </row>
    <row r="27" spans="1:85">
      <c r="A27" s="313" t="s">
        <v>564</v>
      </c>
      <c r="B27" s="315">
        <f t="shared" si="30"/>
        <v>1</v>
      </c>
      <c r="C27" s="313" t="str">
        <f t="shared" si="31"/>
        <v>Carnivore</v>
      </c>
      <c r="D27" s="313" t="str">
        <f t="shared" si="32"/>
        <v>Aggressive</v>
      </c>
      <c r="E27" s="315">
        <v>0</v>
      </c>
      <c r="F27" s="315">
        <v>0</v>
      </c>
      <c r="G27" s="315">
        <v>0</v>
      </c>
      <c r="H27" s="315">
        <v>0</v>
      </c>
      <c r="I27" s="315">
        <v>0</v>
      </c>
      <c r="J27" s="315">
        <v>0</v>
      </c>
      <c r="K27" s="315">
        <v>0</v>
      </c>
      <c r="L27" s="315">
        <v>0</v>
      </c>
      <c r="M27" s="315">
        <v>15</v>
      </c>
      <c r="N27" s="315">
        <v>0</v>
      </c>
      <c r="O27" s="315">
        <f t="shared" si="33"/>
        <v>8</v>
      </c>
      <c r="P27" s="315">
        <f t="shared" si="34"/>
        <v>-3</v>
      </c>
      <c r="Q27" s="315" t="str">
        <f t="shared" si="35"/>
        <v>Fur/Feathers</v>
      </c>
      <c r="R27" s="315" t="str">
        <f t="shared" si="36"/>
        <v>Fur/Feathers</v>
      </c>
      <c r="S27" s="315" t="str">
        <f t="shared" si="37"/>
        <v>Fur/Feathers</v>
      </c>
      <c r="T27" s="315" t="str">
        <f t="shared" si="38"/>
        <v>Fur/Feathers</v>
      </c>
      <c r="U27" s="315" t="str">
        <f t="shared" si="39"/>
        <v>Fur/Feathers</v>
      </c>
      <c r="V27" s="315" t="str">
        <f t="shared" si="40"/>
        <v>Fur/Feathers</v>
      </c>
      <c r="W27" s="313" t="s">
        <v>682</v>
      </c>
      <c r="X27" s="313" t="s">
        <v>543</v>
      </c>
      <c r="Y27" s="313" t="s">
        <v>625</v>
      </c>
      <c r="Z27" s="313" t="s">
        <v>625</v>
      </c>
      <c r="AA27" s="313"/>
      <c r="AB27" s="313"/>
      <c r="AC27" s="313"/>
      <c r="AD27" s="315">
        <f t="shared" si="14"/>
        <v>15</v>
      </c>
      <c r="AE27" s="315">
        <f t="shared" si="41"/>
        <v>15</v>
      </c>
      <c r="AF27" s="313"/>
      <c r="AG27" s="313"/>
      <c r="AH27" s="313"/>
      <c r="AI27" s="313"/>
      <c r="AJ27" s="313"/>
      <c r="AK27" s="313"/>
      <c r="AL27" s="313"/>
      <c r="AM27" s="313"/>
      <c r="AN27" s="313"/>
      <c r="AO27" s="313"/>
      <c r="AP27" s="313"/>
      <c r="AQ27" s="313"/>
      <c r="AR27" s="313"/>
      <c r="AS27" s="313"/>
      <c r="AT27" s="313"/>
      <c r="AU27" s="313"/>
      <c r="AV27" s="313"/>
      <c r="AX27" s="315">
        <f t="shared" si="42"/>
        <v>100</v>
      </c>
      <c r="AY27" s="315">
        <f t="shared" si="43"/>
        <v>0</v>
      </c>
      <c r="AZ27" s="313" t="s">
        <v>601</v>
      </c>
      <c r="BA27" s="313" t="s">
        <v>558</v>
      </c>
      <c r="BB27" s="313" t="s">
        <v>564</v>
      </c>
      <c r="BC27" s="313" t="s">
        <v>737</v>
      </c>
      <c r="BD27" s="315">
        <v>1</v>
      </c>
      <c r="BE27" s="313" t="s">
        <v>739</v>
      </c>
      <c r="BF27" s="315">
        <v>8</v>
      </c>
      <c r="BG27" s="313" t="s">
        <v>741</v>
      </c>
      <c r="BH27" s="313">
        <v>40</v>
      </c>
      <c r="BI27" s="313">
        <v>100</v>
      </c>
      <c r="BJ27" s="317" t="s">
        <v>2437</v>
      </c>
      <c r="BK27" s="313">
        <v>-2</v>
      </c>
      <c r="BL27" s="313">
        <v>2</v>
      </c>
      <c r="BM27" s="313">
        <v>4</v>
      </c>
      <c r="BN27" s="313">
        <v>1</v>
      </c>
      <c r="BO27" s="313">
        <v>-3</v>
      </c>
      <c r="BP27" s="313"/>
      <c r="BR27" s="315">
        <v>5</v>
      </c>
      <c r="BS27" s="315">
        <v>40</v>
      </c>
      <c r="BT27" s="315">
        <v>95</v>
      </c>
      <c r="BU27" s="315">
        <v>0</v>
      </c>
      <c r="BV27" s="315">
        <v>-2</v>
      </c>
      <c r="BW27" s="315">
        <v>1</v>
      </c>
      <c r="BX27" s="315">
        <v>5</v>
      </c>
      <c r="BY27" s="315">
        <v>1</v>
      </c>
      <c r="BZ27" s="315">
        <v>-3</v>
      </c>
      <c r="CG27" s="313"/>
    </row>
    <row r="28" spans="1:85">
      <c r="A28" s="313" t="s">
        <v>562</v>
      </c>
      <c r="B28" s="315" t="str">
        <f t="shared" si="30"/>
        <v>1D6 X 1D10</v>
      </c>
      <c r="C28" s="313" t="str">
        <f t="shared" si="31"/>
        <v>Herbivore</v>
      </c>
      <c r="D28" s="313" t="str">
        <f t="shared" si="32"/>
        <v>Non-threatening</v>
      </c>
      <c r="E28" s="315">
        <v>0</v>
      </c>
      <c r="F28" s="315">
        <v>0</v>
      </c>
      <c r="G28" s="315">
        <v>0</v>
      </c>
      <c r="H28" s="315">
        <v>0</v>
      </c>
      <c r="I28" s="315">
        <v>0</v>
      </c>
      <c r="J28" s="315">
        <v>0</v>
      </c>
      <c r="K28" s="315">
        <v>0</v>
      </c>
      <c r="L28" s="315">
        <v>0</v>
      </c>
      <c r="M28" s="315">
        <v>15</v>
      </c>
      <c r="N28" s="315">
        <v>0</v>
      </c>
      <c r="O28" s="315">
        <f t="shared" si="33"/>
        <v>2</v>
      </c>
      <c r="P28" s="315">
        <f t="shared" si="34"/>
        <v>1</v>
      </c>
      <c r="Q28" s="315" t="str">
        <f t="shared" si="35"/>
        <v>Light Hide</v>
      </c>
      <c r="R28" s="315" t="str">
        <f t="shared" si="36"/>
        <v>Light Hide</v>
      </c>
      <c r="S28" s="315" t="str">
        <f t="shared" si="37"/>
        <v>Light Hide</v>
      </c>
      <c r="T28" s="315" t="str">
        <f t="shared" si="38"/>
        <v>Light Hide</v>
      </c>
      <c r="U28" s="315" t="str">
        <f t="shared" si="39"/>
        <v>Light Hide</v>
      </c>
      <c r="V28" s="315" t="str">
        <f t="shared" si="40"/>
        <v>Light Hide</v>
      </c>
      <c r="W28" s="313" t="s">
        <v>684</v>
      </c>
      <c r="X28" s="313" t="s">
        <v>736</v>
      </c>
      <c r="Y28" s="313"/>
      <c r="Z28" s="313"/>
      <c r="AA28" s="313"/>
      <c r="AB28" s="313"/>
      <c r="AC28" s="313"/>
      <c r="AD28" s="315">
        <f t="shared" si="14"/>
        <v>5</v>
      </c>
      <c r="AE28" s="315">
        <f t="shared" si="41"/>
        <v>5</v>
      </c>
      <c r="AF28" s="313"/>
      <c r="AG28" s="313"/>
      <c r="AH28" s="313"/>
      <c r="AI28" s="313"/>
      <c r="AJ28" s="313"/>
      <c r="AK28" s="313"/>
      <c r="AL28" s="313"/>
      <c r="AM28" s="313"/>
      <c r="AN28" s="313"/>
      <c r="AO28" s="313"/>
      <c r="AP28" s="313"/>
      <c r="AQ28" s="313"/>
      <c r="AR28" s="313"/>
      <c r="AS28" s="313"/>
      <c r="AT28" s="313"/>
      <c r="AU28" s="313"/>
      <c r="AV28" s="313"/>
      <c r="AX28" s="315">
        <f t="shared" si="42"/>
        <v>65</v>
      </c>
      <c r="AY28" s="315">
        <f t="shared" si="43"/>
        <v>0</v>
      </c>
      <c r="AZ28" s="313" t="s">
        <v>601</v>
      </c>
      <c r="BA28" s="313" t="s">
        <v>558</v>
      </c>
      <c r="BB28" s="313" t="s">
        <v>562</v>
      </c>
      <c r="BC28" s="313" t="s">
        <v>733</v>
      </c>
      <c r="BD28" s="315" t="s">
        <v>745</v>
      </c>
      <c r="BE28" s="313" t="s">
        <v>541</v>
      </c>
      <c r="BF28" s="315">
        <v>2</v>
      </c>
      <c r="BG28" s="313" t="s">
        <v>542</v>
      </c>
      <c r="BH28" s="313">
        <v>100</v>
      </c>
      <c r="BI28" s="313">
        <v>65</v>
      </c>
      <c r="BJ28" s="313" t="s">
        <v>735</v>
      </c>
      <c r="BK28" s="313">
        <v>0</v>
      </c>
      <c r="BL28" s="313">
        <v>5</v>
      </c>
      <c r="BM28" s="313">
        <v>10</v>
      </c>
      <c r="BN28" s="313">
        <v>3</v>
      </c>
      <c r="BO28" s="313">
        <v>0</v>
      </c>
      <c r="BP28" s="313"/>
      <c r="BR28" s="315">
        <v>6</v>
      </c>
      <c r="BS28" s="315">
        <v>60</v>
      </c>
      <c r="BT28" s="315">
        <v>90</v>
      </c>
      <c r="BU28" s="315">
        <v>0</v>
      </c>
      <c r="BV28" s="315">
        <v>-1</v>
      </c>
      <c r="BW28" s="315">
        <v>2</v>
      </c>
      <c r="BX28" s="315">
        <v>6</v>
      </c>
      <c r="BY28" s="315">
        <v>2</v>
      </c>
      <c r="BZ28" s="315">
        <v>-1</v>
      </c>
      <c r="CG28" s="313"/>
    </row>
    <row r="29" spans="1:85">
      <c r="A29" s="313" t="s">
        <v>559</v>
      </c>
      <c r="B29" s="315" t="str">
        <f t="shared" si="30"/>
        <v>1D6</v>
      </c>
      <c r="C29" s="313" t="str">
        <f t="shared" si="31"/>
        <v>Herbivore</v>
      </c>
      <c r="D29" s="313" t="str">
        <f t="shared" si="32"/>
        <v>Non-threatening</v>
      </c>
      <c r="E29" s="315">
        <v>0</v>
      </c>
      <c r="F29" s="315">
        <v>0</v>
      </c>
      <c r="G29" s="315">
        <v>0</v>
      </c>
      <c r="H29" s="315">
        <v>0</v>
      </c>
      <c r="I29" s="315">
        <v>0</v>
      </c>
      <c r="J29" s="315">
        <v>0</v>
      </c>
      <c r="K29" s="315">
        <v>0</v>
      </c>
      <c r="L29" s="315">
        <v>0</v>
      </c>
      <c r="M29" s="315">
        <v>15</v>
      </c>
      <c r="N29" s="315">
        <v>0</v>
      </c>
      <c r="O29" s="315">
        <f t="shared" si="33"/>
        <v>4</v>
      </c>
      <c r="P29" s="315">
        <f t="shared" si="34"/>
        <v>2</v>
      </c>
      <c r="Q29" s="315" t="str">
        <f t="shared" si="35"/>
        <v>Light Hide</v>
      </c>
      <c r="R29" s="315" t="str">
        <f t="shared" si="36"/>
        <v>Light Hide</v>
      </c>
      <c r="S29" s="315" t="str">
        <f t="shared" si="37"/>
        <v>Light Hide</v>
      </c>
      <c r="T29" s="315" t="str">
        <f t="shared" si="38"/>
        <v>Light Hide</v>
      </c>
      <c r="U29" s="315" t="str">
        <f t="shared" si="39"/>
        <v>Light Hide</v>
      </c>
      <c r="V29" s="315" t="str">
        <f t="shared" si="40"/>
        <v>Light Hide</v>
      </c>
      <c r="W29" s="313" t="s">
        <v>678</v>
      </c>
      <c r="X29" s="313" t="s">
        <v>747</v>
      </c>
      <c r="Y29" s="313" t="s">
        <v>747</v>
      </c>
      <c r="Z29" s="313"/>
      <c r="AA29" s="313"/>
      <c r="AB29" s="313"/>
      <c r="AC29" s="313"/>
      <c r="AD29" s="315">
        <f t="shared" si="14"/>
        <v>10</v>
      </c>
      <c r="AE29" s="315">
        <f t="shared" si="41"/>
        <v>10</v>
      </c>
      <c r="AF29" s="313"/>
      <c r="AG29" s="313"/>
      <c r="AH29" s="313"/>
      <c r="AI29" s="313"/>
      <c r="AJ29" s="313"/>
      <c r="AK29" s="313"/>
      <c r="AL29" s="313"/>
      <c r="AM29" s="313"/>
      <c r="AN29" s="313"/>
      <c r="AO29" s="313"/>
      <c r="AP29" s="313"/>
      <c r="AQ29" s="313"/>
      <c r="AR29" s="313"/>
      <c r="AS29" s="313"/>
      <c r="AT29" s="313"/>
      <c r="AU29" s="313"/>
      <c r="AV29" s="313"/>
      <c r="AX29" s="315">
        <f t="shared" si="42"/>
        <v>70</v>
      </c>
      <c r="AY29" s="315">
        <f t="shared" si="43"/>
        <v>0</v>
      </c>
      <c r="AZ29" s="313" t="s">
        <v>601</v>
      </c>
      <c r="BA29" s="313" t="s">
        <v>558</v>
      </c>
      <c r="BB29" s="313" t="s">
        <v>559</v>
      </c>
      <c r="BC29" s="313" t="s">
        <v>733</v>
      </c>
      <c r="BD29" s="315" t="s">
        <v>746</v>
      </c>
      <c r="BE29" s="313" t="s">
        <v>541</v>
      </c>
      <c r="BF29" s="315">
        <v>4</v>
      </c>
      <c r="BG29" s="313" t="s">
        <v>740</v>
      </c>
      <c r="BH29" s="313">
        <v>200</v>
      </c>
      <c r="BI29" s="313">
        <v>70</v>
      </c>
      <c r="BJ29" s="313" t="s">
        <v>735</v>
      </c>
      <c r="BK29" s="313">
        <v>-5</v>
      </c>
      <c r="BL29" s="313">
        <v>10</v>
      </c>
      <c r="BM29" s="313">
        <v>12</v>
      </c>
      <c r="BN29" s="313">
        <v>5</v>
      </c>
      <c r="BO29" s="313">
        <v>0</v>
      </c>
      <c r="BP29" s="313"/>
      <c r="BR29" s="315">
        <v>7</v>
      </c>
      <c r="BS29" s="315">
        <v>80</v>
      </c>
      <c r="BT29" s="315">
        <v>85</v>
      </c>
      <c r="BU29" s="315">
        <v>0</v>
      </c>
      <c r="BV29" s="315">
        <v>0</v>
      </c>
      <c r="BW29" s="315">
        <v>3</v>
      </c>
      <c r="BX29" s="315">
        <v>8</v>
      </c>
      <c r="BY29" s="315">
        <v>2</v>
      </c>
      <c r="BZ29" s="315">
        <v>0</v>
      </c>
      <c r="CG29" s="313"/>
    </row>
    <row r="30" spans="1:85">
      <c r="A30" s="313" t="s">
        <v>657</v>
      </c>
      <c r="B30" s="315">
        <f t="shared" si="30"/>
        <v>1</v>
      </c>
      <c r="C30" s="313" t="str">
        <f t="shared" si="31"/>
        <v>Carnivore</v>
      </c>
      <c r="D30" s="313" t="str">
        <f t="shared" si="32"/>
        <v>Dangerous</v>
      </c>
      <c r="E30" s="315">
        <v>0</v>
      </c>
      <c r="F30" s="315">
        <v>0</v>
      </c>
      <c r="G30" s="315">
        <v>0</v>
      </c>
      <c r="H30" s="315">
        <v>0</v>
      </c>
      <c r="I30" s="315">
        <v>0</v>
      </c>
      <c r="J30" s="315">
        <v>0</v>
      </c>
      <c r="K30" s="315">
        <v>0</v>
      </c>
      <c r="L30" s="315">
        <v>0</v>
      </c>
      <c r="M30" s="315">
        <v>15</v>
      </c>
      <c r="N30" s="315">
        <v>0</v>
      </c>
      <c r="O30" s="315">
        <f t="shared" si="33"/>
        <v>9</v>
      </c>
      <c r="P30" s="315">
        <f t="shared" si="34"/>
        <v>1</v>
      </c>
      <c r="Q30" s="315" t="str">
        <f t="shared" si="35"/>
        <v>Light Hide</v>
      </c>
      <c r="R30" s="315" t="str">
        <f t="shared" si="36"/>
        <v>Light Hide</v>
      </c>
      <c r="S30" s="315" t="str">
        <f t="shared" si="37"/>
        <v>Light Hide</v>
      </c>
      <c r="T30" s="315" t="str">
        <f t="shared" si="38"/>
        <v>Light Hide</v>
      </c>
      <c r="U30" s="315" t="str">
        <f t="shared" si="39"/>
        <v>Light Hide</v>
      </c>
      <c r="V30" s="315" t="str">
        <f t="shared" si="40"/>
        <v>Light Hide</v>
      </c>
      <c r="W30" s="313" t="s">
        <v>681</v>
      </c>
      <c r="X30" s="313" t="s">
        <v>543</v>
      </c>
      <c r="Y30" s="313"/>
      <c r="Z30" s="313"/>
      <c r="AA30" s="313"/>
      <c r="AB30" s="313"/>
      <c r="AC30" s="313"/>
      <c r="AD30" s="315">
        <f t="shared" si="14"/>
        <v>10</v>
      </c>
      <c r="AE30" s="315">
        <f t="shared" si="41"/>
        <v>10</v>
      </c>
      <c r="AF30" s="313"/>
      <c r="AG30" s="313"/>
      <c r="AH30" s="313"/>
      <c r="AI30" s="313"/>
      <c r="AJ30" s="313"/>
      <c r="AK30" s="313"/>
      <c r="AL30" s="313"/>
      <c r="AM30" s="313"/>
      <c r="AN30" s="313"/>
      <c r="AO30" s="313"/>
      <c r="AP30" s="313"/>
      <c r="AQ30" s="313"/>
      <c r="AR30" s="313"/>
      <c r="AS30" s="313"/>
      <c r="AT30" s="313"/>
      <c r="AU30" s="313"/>
      <c r="AV30" s="313"/>
      <c r="AX30" s="315">
        <f t="shared" si="42"/>
        <v>70</v>
      </c>
      <c r="AY30" s="315">
        <f t="shared" si="43"/>
        <v>0</v>
      </c>
      <c r="AZ30" s="313" t="s">
        <v>601</v>
      </c>
      <c r="BA30" s="313" t="s">
        <v>558</v>
      </c>
      <c r="BB30" s="313" t="s">
        <v>657</v>
      </c>
      <c r="BC30" s="313" t="s">
        <v>737</v>
      </c>
      <c r="BD30" s="315">
        <v>1</v>
      </c>
      <c r="BE30" s="313" t="s">
        <v>748</v>
      </c>
      <c r="BF30" s="315">
        <v>9</v>
      </c>
      <c r="BG30" s="313" t="s">
        <v>740</v>
      </c>
      <c r="BH30" s="313">
        <v>100</v>
      </c>
      <c r="BI30" s="313">
        <v>70</v>
      </c>
      <c r="BJ30" s="313" t="s">
        <v>735</v>
      </c>
      <c r="BK30" s="313">
        <v>0</v>
      </c>
      <c r="BL30" s="313">
        <v>5</v>
      </c>
      <c r="BM30" s="313">
        <v>10</v>
      </c>
      <c r="BN30" s="313">
        <v>8</v>
      </c>
      <c r="BO30" s="313">
        <v>0</v>
      </c>
      <c r="BP30" s="313"/>
      <c r="BR30" s="315">
        <v>8</v>
      </c>
      <c r="BS30" s="315">
        <v>100</v>
      </c>
      <c r="BT30" s="315">
        <v>80</v>
      </c>
      <c r="BU30" s="315">
        <v>0</v>
      </c>
      <c r="BV30" s="315">
        <v>0</v>
      </c>
      <c r="BW30" s="315">
        <v>4</v>
      </c>
      <c r="BX30" s="315">
        <v>10</v>
      </c>
      <c r="BY30" s="315">
        <v>3</v>
      </c>
      <c r="BZ30" s="315">
        <v>0</v>
      </c>
    </row>
    <row r="31" spans="1:85">
      <c r="A31" s="313" t="s">
        <v>561</v>
      </c>
      <c r="B31" s="315">
        <f t="shared" si="30"/>
        <v>1</v>
      </c>
      <c r="C31" s="313" t="str">
        <f t="shared" si="31"/>
        <v>Carnivore</v>
      </c>
      <c r="D31" s="313" t="str">
        <f t="shared" si="32"/>
        <v>Dangerous</v>
      </c>
      <c r="E31" s="315">
        <v>0</v>
      </c>
      <c r="F31" s="315">
        <v>0</v>
      </c>
      <c r="G31" s="315">
        <v>0</v>
      </c>
      <c r="H31" s="315">
        <v>0</v>
      </c>
      <c r="I31" s="315">
        <v>0</v>
      </c>
      <c r="J31" s="315">
        <v>0</v>
      </c>
      <c r="K31" s="315">
        <v>0</v>
      </c>
      <c r="L31" s="315">
        <v>0</v>
      </c>
      <c r="M31" s="315">
        <v>15</v>
      </c>
      <c r="N31" s="315">
        <v>0</v>
      </c>
      <c r="O31" s="315">
        <f t="shared" si="33"/>
        <v>7</v>
      </c>
      <c r="P31" s="315">
        <f t="shared" si="34"/>
        <v>2</v>
      </c>
      <c r="Q31" s="315" t="str">
        <f t="shared" si="35"/>
        <v>Light Hide</v>
      </c>
      <c r="R31" s="315" t="str">
        <f t="shared" si="36"/>
        <v>Light Hide</v>
      </c>
      <c r="S31" s="315" t="str">
        <f t="shared" si="37"/>
        <v>Light Hide</v>
      </c>
      <c r="T31" s="315" t="str">
        <f t="shared" si="38"/>
        <v>Light Hide</v>
      </c>
      <c r="U31" s="315" t="str">
        <f t="shared" si="39"/>
        <v>Light Hide</v>
      </c>
      <c r="V31" s="315" t="str">
        <f t="shared" si="40"/>
        <v>Light Hide</v>
      </c>
      <c r="W31" s="313" t="s">
        <v>680</v>
      </c>
      <c r="X31" s="313" t="s">
        <v>749</v>
      </c>
      <c r="Y31" s="313"/>
      <c r="Z31" s="313"/>
      <c r="AA31" s="313"/>
      <c r="AB31" s="313"/>
      <c r="AC31" s="313"/>
      <c r="AD31" s="315">
        <f t="shared" si="14"/>
        <v>10</v>
      </c>
      <c r="AE31" s="315">
        <f t="shared" si="41"/>
        <v>10</v>
      </c>
      <c r="AF31" s="313"/>
      <c r="AG31" s="313"/>
      <c r="AH31" s="313"/>
      <c r="AI31" s="313"/>
      <c r="AJ31" s="313"/>
      <c r="AK31" s="313"/>
      <c r="AL31" s="313"/>
      <c r="AM31" s="313"/>
      <c r="AN31" s="313"/>
      <c r="AO31" s="313"/>
      <c r="AP31" s="313"/>
      <c r="AQ31" s="313"/>
      <c r="AR31" s="313"/>
      <c r="AS31" s="313"/>
      <c r="AT31" s="313"/>
      <c r="AU31" s="313"/>
      <c r="AV31" s="313"/>
      <c r="AX31" s="315">
        <f t="shared" si="42"/>
        <v>75</v>
      </c>
      <c r="AY31" s="315">
        <f t="shared" si="43"/>
        <v>0</v>
      </c>
      <c r="AZ31" s="313" t="s">
        <v>601</v>
      </c>
      <c r="BA31" s="313" t="s">
        <v>558</v>
      </c>
      <c r="BB31" s="313" t="s">
        <v>561</v>
      </c>
      <c r="BC31" s="313" t="s">
        <v>737</v>
      </c>
      <c r="BD31" s="315">
        <v>1</v>
      </c>
      <c r="BE31" s="313" t="s">
        <v>748</v>
      </c>
      <c r="BF31" s="315">
        <v>7</v>
      </c>
      <c r="BG31" s="313" t="s">
        <v>740</v>
      </c>
      <c r="BH31" s="313">
        <v>300</v>
      </c>
      <c r="BI31" s="313">
        <v>75</v>
      </c>
      <c r="BJ31" s="313" t="s">
        <v>735</v>
      </c>
      <c r="BK31" s="313">
        <v>0</v>
      </c>
      <c r="BL31" s="313">
        <v>10</v>
      </c>
      <c r="BM31" s="313">
        <v>6</v>
      </c>
      <c r="BN31" s="313">
        <v>8</v>
      </c>
      <c r="BO31" s="313">
        <v>0</v>
      </c>
      <c r="BP31" s="313"/>
      <c r="BR31" s="315">
        <v>9</v>
      </c>
      <c r="BS31" s="315">
        <v>150</v>
      </c>
      <c r="BT31" s="315">
        <v>75</v>
      </c>
      <c r="BU31" s="315">
        <v>1</v>
      </c>
      <c r="BV31" s="315">
        <v>0</v>
      </c>
      <c r="BW31" s="315">
        <v>5</v>
      </c>
      <c r="BX31" s="315">
        <v>12</v>
      </c>
      <c r="BY31" s="315">
        <v>4</v>
      </c>
      <c r="BZ31" s="315">
        <v>0</v>
      </c>
    </row>
    <row r="32" spans="1:85">
      <c r="A32" s="313" t="s">
        <v>560</v>
      </c>
      <c r="B32" s="315">
        <f t="shared" si="30"/>
        <v>1</v>
      </c>
      <c r="C32" s="313" t="str">
        <f t="shared" si="31"/>
        <v>Carnivore</v>
      </c>
      <c r="D32" s="313" t="str">
        <f t="shared" si="32"/>
        <v>Dangerous</v>
      </c>
      <c r="E32" s="315">
        <v>0</v>
      </c>
      <c r="F32" s="315">
        <v>0</v>
      </c>
      <c r="G32" s="315">
        <v>0</v>
      </c>
      <c r="H32" s="315">
        <v>0</v>
      </c>
      <c r="I32" s="315">
        <v>0</v>
      </c>
      <c r="J32" s="315">
        <v>0</v>
      </c>
      <c r="K32" s="315">
        <v>0</v>
      </c>
      <c r="L32" s="315">
        <v>0</v>
      </c>
      <c r="M32" s="315">
        <v>15</v>
      </c>
      <c r="N32" s="315">
        <v>0</v>
      </c>
      <c r="O32" s="315">
        <f t="shared" si="33"/>
        <v>5</v>
      </c>
      <c r="P32" s="315">
        <f t="shared" si="34"/>
        <v>3</v>
      </c>
      <c r="Q32" s="315" t="str">
        <f t="shared" si="35"/>
        <v>Light Hide</v>
      </c>
      <c r="R32" s="315" t="str">
        <f t="shared" si="36"/>
        <v>Light Hide</v>
      </c>
      <c r="S32" s="315" t="str">
        <f t="shared" si="37"/>
        <v>Light Hide</v>
      </c>
      <c r="T32" s="315" t="str">
        <f t="shared" si="38"/>
        <v>Light Hide</v>
      </c>
      <c r="U32" s="315" t="str">
        <f t="shared" si="39"/>
        <v>Light Hide</v>
      </c>
      <c r="V32" s="315" t="str">
        <f t="shared" si="40"/>
        <v>Light Hide</v>
      </c>
      <c r="W32" s="313" t="s">
        <v>679</v>
      </c>
      <c r="X32" s="313" t="s">
        <v>543</v>
      </c>
      <c r="Y32" s="313" t="s">
        <v>625</v>
      </c>
      <c r="Z32" s="313" t="s">
        <v>625</v>
      </c>
      <c r="AA32" s="313"/>
      <c r="AB32" s="313"/>
      <c r="AC32" s="313"/>
      <c r="AD32" s="315">
        <f t="shared" si="14"/>
        <v>15</v>
      </c>
      <c r="AE32" s="315">
        <f t="shared" si="41"/>
        <v>15</v>
      </c>
      <c r="AF32" s="313"/>
      <c r="AG32" s="313"/>
      <c r="AH32" s="313"/>
      <c r="AI32" s="313"/>
      <c r="AJ32" s="313"/>
      <c r="AK32" s="313"/>
      <c r="AL32" s="313"/>
      <c r="AM32" s="313"/>
      <c r="AN32" s="313"/>
      <c r="AO32" s="313"/>
      <c r="AP32" s="313"/>
      <c r="AQ32" s="313"/>
      <c r="AR32" s="313"/>
      <c r="AS32" s="313"/>
      <c r="AT32" s="313"/>
      <c r="AU32" s="313"/>
      <c r="AV32" s="313"/>
      <c r="AX32" s="315">
        <f t="shared" si="42"/>
        <v>65</v>
      </c>
      <c r="AY32" s="315">
        <f t="shared" si="43"/>
        <v>0</v>
      </c>
      <c r="AZ32" s="313" t="s">
        <v>601</v>
      </c>
      <c r="BA32" s="313" t="s">
        <v>558</v>
      </c>
      <c r="BB32" s="313" t="s">
        <v>560</v>
      </c>
      <c r="BC32" s="313" t="s">
        <v>737</v>
      </c>
      <c r="BD32" s="315">
        <v>1</v>
      </c>
      <c r="BE32" s="313" t="s">
        <v>748</v>
      </c>
      <c r="BF32" s="315">
        <v>5</v>
      </c>
      <c r="BG32" s="313" t="s">
        <v>741</v>
      </c>
      <c r="BH32" s="313">
        <v>500</v>
      </c>
      <c r="BI32" s="313">
        <v>65</v>
      </c>
      <c r="BJ32" s="313" t="s">
        <v>735</v>
      </c>
      <c r="BK32" s="313">
        <v>0</v>
      </c>
      <c r="BL32" s="313">
        <v>10</v>
      </c>
      <c r="BM32" s="313">
        <v>12</v>
      </c>
      <c r="BN32" s="313">
        <v>10</v>
      </c>
      <c r="BO32" s="313">
        <v>1</v>
      </c>
      <c r="BP32" s="313"/>
      <c r="BR32" s="315">
        <v>10</v>
      </c>
      <c r="BS32" s="315">
        <v>200</v>
      </c>
      <c r="BT32" s="315">
        <v>70</v>
      </c>
      <c r="BU32" s="315">
        <v>1</v>
      </c>
      <c r="BV32" s="315">
        <v>0</v>
      </c>
      <c r="BW32" s="315">
        <v>6</v>
      </c>
      <c r="BX32" s="315">
        <v>14</v>
      </c>
      <c r="BY32" s="315">
        <v>5</v>
      </c>
      <c r="BZ32" s="315">
        <v>0</v>
      </c>
    </row>
    <row r="33" spans="1:78">
      <c r="A33" s="313" t="s">
        <v>563</v>
      </c>
      <c r="B33" s="315">
        <f t="shared" si="30"/>
        <v>1</v>
      </c>
      <c r="C33" s="313" t="str">
        <f t="shared" si="31"/>
        <v>Carnivore</v>
      </c>
      <c r="D33" s="313" t="str">
        <f t="shared" si="32"/>
        <v>Dangerous</v>
      </c>
      <c r="E33" s="315">
        <v>0</v>
      </c>
      <c r="F33" s="315">
        <v>0</v>
      </c>
      <c r="G33" s="315">
        <v>0</v>
      </c>
      <c r="H33" s="315">
        <v>0</v>
      </c>
      <c r="I33" s="315">
        <v>0</v>
      </c>
      <c r="J33" s="315">
        <v>0</v>
      </c>
      <c r="K33" s="315">
        <v>0</v>
      </c>
      <c r="L33" s="315">
        <v>0</v>
      </c>
      <c r="M33" s="315">
        <v>15</v>
      </c>
      <c r="N33" s="315">
        <v>0</v>
      </c>
      <c r="O33" s="315">
        <f t="shared" si="33"/>
        <v>10</v>
      </c>
      <c r="P33" s="315">
        <f t="shared" si="34"/>
        <v>-3</v>
      </c>
      <c r="Q33" s="315" t="str">
        <f t="shared" si="35"/>
        <v>Skin</v>
      </c>
      <c r="R33" s="315" t="str">
        <f t="shared" si="36"/>
        <v>Skin</v>
      </c>
      <c r="S33" s="315" t="str">
        <f t="shared" si="37"/>
        <v>Skin</v>
      </c>
      <c r="T33" s="315" t="str">
        <f t="shared" si="38"/>
        <v>Skin</v>
      </c>
      <c r="U33" s="315" t="str">
        <f t="shared" si="39"/>
        <v>Skin</v>
      </c>
      <c r="V33" s="315" t="str">
        <f t="shared" si="40"/>
        <v>Skin</v>
      </c>
      <c r="W33" s="313" t="s">
        <v>486</v>
      </c>
      <c r="X33" s="313" t="s">
        <v>750</v>
      </c>
      <c r="Y33" s="313"/>
      <c r="Z33" s="313"/>
      <c r="AA33" s="313"/>
      <c r="AB33" s="313"/>
      <c r="AC33" s="313"/>
      <c r="AD33" s="315">
        <f t="shared" si="14"/>
        <v>15</v>
      </c>
      <c r="AE33" s="315">
        <f t="shared" si="41"/>
        <v>15</v>
      </c>
      <c r="AF33" s="313"/>
      <c r="AG33" s="313"/>
      <c r="AH33" s="313"/>
      <c r="AI33" s="313"/>
      <c r="AJ33" s="313"/>
      <c r="AK33" s="313"/>
      <c r="AL33" s="313"/>
      <c r="AM33" s="313"/>
      <c r="AN33" s="313"/>
      <c r="AO33" s="313"/>
      <c r="AP33" s="313"/>
      <c r="AQ33" s="313"/>
      <c r="AR33" s="313"/>
      <c r="AS33" s="313"/>
      <c r="AT33" s="313"/>
      <c r="AU33" s="313"/>
      <c r="AV33" s="313"/>
      <c r="AX33" s="315">
        <f t="shared" si="42"/>
        <v>90</v>
      </c>
      <c r="AY33" s="315">
        <f t="shared" si="43"/>
        <v>0</v>
      </c>
      <c r="AZ33" s="313" t="s">
        <v>601</v>
      </c>
      <c r="BA33" s="313" t="s">
        <v>558</v>
      </c>
      <c r="BB33" s="313" t="s">
        <v>563</v>
      </c>
      <c r="BC33" s="313" t="s">
        <v>737</v>
      </c>
      <c r="BD33" s="315">
        <v>1</v>
      </c>
      <c r="BE33" s="313" t="s">
        <v>748</v>
      </c>
      <c r="BF33" s="315">
        <v>10</v>
      </c>
      <c r="BG33" s="313" t="s">
        <v>741</v>
      </c>
      <c r="BH33" s="313">
        <v>60</v>
      </c>
      <c r="BI33" s="313">
        <v>90</v>
      </c>
      <c r="BJ33" s="313" t="s">
        <v>742</v>
      </c>
      <c r="BK33" s="313">
        <v>0</v>
      </c>
      <c r="BL33" s="313">
        <v>5</v>
      </c>
      <c r="BM33" s="313">
        <v>10</v>
      </c>
      <c r="BN33" s="313">
        <v>3</v>
      </c>
      <c r="BO33" s="313">
        <v>0</v>
      </c>
      <c r="BP33" s="313"/>
      <c r="BR33" s="315">
        <v>11</v>
      </c>
      <c r="BS33" s="315">
        <v>300</v>
      </c>
      <c r="BT33" s="315">
        <v>65</v>
      </c>
      <c r="BU33" s="315">
        <v>2</v>
      </c>
      <c r="BV33" s="315">
        <v>0</v>
      </c>
      <c r="BW33" s="315">
        <v>8</v>
      </c>
      <c r="BX33" s="315">
        <v>16</v>
      </c>
      <c r="BY33" s="315">
        <v>8</v>
      </c>
      <c r="BZ33" s="315">
        <v>0</v>
      </c>
    </row>
    <row r="34" spans="1:78">
      <c r="A34" s="313" t="s">
        <v>1046</v>
      </c>
      <c r="B34" s="315" t="str">
        <f t="shared" si="30"/>
        <v>1D6</v>
      </c>
      <c r="C34" s="313" t="str">
        <f t="shared" si="31"/>
        <v>Herbivore</v>
      </c>
      <c r="D34" s="313" t="str">
        <f t="shared" si="32"/>
        <v>Non-threatening</v>
      </c>
      <c r="E34" s="315">
        <v>0</v>
      </c>
      <c r="F34" s="315">
        <v>0</v>
      </c>
      <c r="G34" s="315">
        <v>0</v>
      </c>
      <c r="H34" s="315">
        <v>0</v>
      </c>
      <c r="I34" s="315">
        <v>0</v>
      </c>
      <c r="J34" s="315">
        <v>0</v>
      </c>
      <c r="K34" s="315">
        <v>0</v>
      </c>
      <c r="L34" s="315">
        <v>0</v>
      </c>
      <c r="M34" s="315">
        <v>15</v>
      </c>
      <c r="N34" s="315">
        <v>0</v>
      </c>
      <c r="O34" s="315">
        <f t="shared" si="33"/>
        <v>1</v>
      </c>
      <c r="P34" s="315">
        <f t="shared" si="34"/>
        <v>-3</v>
      </c>
      <c r="Q34" s="315" t="str">
        <f t="shared" si="35"/>
        <v>Light Hide</v>
      </c>
      <c r="R34" s="315" t="str">
        <f t="shared" si="36"/>
        <v>Light Hide</v>
      </c>
      <c r="S34" s="315" t="str">
        <f t="shared" si="37"/>
        <v>Light Hide</v>
      </c>
      <c r="T34" s="315" t="str">
        <f t="shared" si="38"/>
        <v>Light Hide</v>
      </c>
      <c r="U34" s="315" t="str">
        <f t="shared" si="39"/>
        <v>Light Hide</v>
      </c>
      <c r="V34" s="315" t="str">
        <f t="shared" si="40"/>
        <v>Light Hide</v>
      </c>
      <c r="W34" s="313" t="s">
        <v>448</v>
      </c>
      <c r="X34" s="313" t="s">
        <v>449</v>
      </c>
      <c r="Y34" s="313"/>
      <c r="Z34" s="313"/>
      <c r="AA34" s="313"/>
      <c r="AB34" s="313"/>
      <c r="AC34" s="313"/>
      <c r="AD34" s="315">
        <f t="shared" si="14"/>
        <v>10</v>
      </c>
      <c r="AE34" s="315">
        <f t="shared" si="41"/>
        <v>10</v>
      </c>
      <c r="AF34" s="313"/>
      <c r="AG34" s="313"/>
      <c r="AH34" s="313"/>
      <c r="AI34" s="313"/>
      <c r="AJ34" s="313"/>
      <c r="AK34" s="313"/>
      <c r="AL34" s="313"/>
      <c r="AM34" s="313"/>
      <c r="AN34" s="313"/>
      <c r="AO34" s="313"/>
      <c r="AP34" s="313"/>
      <c r="AQ34" s="313"/>
      <c r="AR34" s="313"/>
      <c r="AS34" s="313"/>
      <c r="AT34" s="313"/>
      <c r="AU34" s="313"/>
      <c r="AV34" s="313"/>
      <c r="AX34" s="315">
        <f t="shared" si="42"/>
        <v>30</v>
      </c>
      <c r="AY34" s="315">
        <f t="shared" si="43"/>
        <v>0</v>
      </c>
      <c r="AZ34" s="313" t="s">
        <v>914</v>
      </c>
      <c r="BA34" s="313" t="s">
        <v>1047</v>
      </c>
      <c r="BB34" s="313" t="s">
        <v>1046</v>
      </c>
      <c r="BC34" s="313" t="s">
        <v>733</v>
      </c>
      <c r="BD34" s="315" t="s">
        <v>746</v>
      </c>
      <c r="BE34" s="313" t="s">
        <v>541</v>
      </c>
      <c r="BF34" s="315">
        <v>1</v>
      </c>
      <c r="BG34" s="313" t="s">
        <v>740</v>
      </c>
      <c r="BH34" s="313">
        <v>20</v>
      </c>
      <c r="BI34" s="313">
        <v>30</v>
      </c>
      <c r="BJ34" s="313" t="s">
        <v>735</v>
      </c>
      <c r="BK34" s="313">
        <v>-2</v>
      </c>
      <c r="BL34" s="313">
        <v>3</v>
      </c>
      <c r="BM34" s="313">
        <v>3</v>
      </c>
      <c r="BN34" s="313">
        <v>2</v>
      </c>
      <c r="BO34" s="313">
        <v>-3</v>
      </c>
      <c r="BP34" s="313"/>
      <c r="BR34" s="315">
        <v>12</v>
      </c>
      <c r="BS34" s="315">
        <v>500</v>
      </c>
      <c r="BT34" s="315">
        <v>60</v>
      </c>
      <c r="BU34" s="315">
        <v>2</v>
      </c>
      <c r="BV34" s="315">
        <v>0</v>
      </c>
      <c r="BW34" s="315">
        <v>10</v>
      </c>
      <c r="BX34" s="315">
        <v>18</v>
      </c>
      <c r="BY34" s="315">
        <v>10</v>
      </c>
      <c r="BZ34" s="315">
        <v>1</v>
      </c>
    </row>
    <row r="35" spans="1:78">
      <c r="A35" s="313" t="s">
        <v>1048</v>
      </c>
      <c r="B35" s="315" t="str">
        <f t="shared" si="30"/>
        <v>2D6</v>
      </c>
      <c r="C35" s="313" t="str">
        <f t="shared" si="31"/>
        <v>Carnivore</v>
      </c>
      <c r="D35" s="313" t="str">
        <f t="shared" si="32"/>
        <v>Aggressive</v>
      </c>
      <c r="E35" s="315">
        <v>0</v>
      </c>
      <c r="F35" s="315">
        <v>0</v>
      </c>
      <c r="G35" s="315">
        <v>0</v>
      </c>
      <c r="H35" s="315">
        <v>0</v>
      </c>
      <c r="I35" s="315">
        <v>0</v>
      </c>
      <c r="J35" s="315">
        <v>0</v>
      </c>
      <c r="K35" s="315">
        <v>0</v>
      </c>
      <c r="L35" s="315">
        <v>0</v>
      </c>
      <c r="M35" s="315">
        <v>15</v>
      </c>
      <c r="N35" s="315">
        <v>0</v>
      </c>
      <c r="O35" s="315">
        <f t="shared" si="33"/>
        <v>7</v>
      </c>
      <c r="P35" s="315">
        <f t="shared" si="34"/>
        <v>1</v>
      </c>
      <c r="Q35" s="315" t="str">
        <f t="shared" si="35"/>
        <v>Light Hide</v>
      </c>
      <c r="R35" s="315" t="str">
        <f t="shared" si="36"/>
        <v>Light Hide</v>
      </c>
      <c r="S35" s="315" t="str">
        <f t="shared" si="37"/>
        <v>Light Hide</v>
      </c>
      <c r="T35" s="315" t="str">
        <f t="shared" si="38"/>
        <v>Light Hide</v>
      </c>
      <c r="U35" s="315" t="str">
        <f t="shared" si="39"/>
        <v>Light Hide</v>
      </c>
      <c r="V35" s="315" t="str">
        <f t="shared" si="40"/>
        <v>Light Hide</v>
      </c>
      <c r="W35" s="313" t="s">
        <v>451</v>
      </c>
      <c r="X35" s="313" t="s">
        <v>543</v>
      </c>
      <c r="Y35" s="313"/>
      <c r="Z35" s="313"/>
      <c r="AA35" s="313"/>
      <c r="AB35" s="313"/>
      <c r="AC35" s="313"/>
      <c r="AD35" s="315">
        <f t="shared" si="14"/>
        <v>10</v>
      </c>
      <c r="AE35" s="315">
        <f t="shared" si="41"/>
        <v>10</v>
      </c>
      <c r="AF35" s="313"/>
      <c r="AG35" s="313"/>
      <c r="AH35" s="313"/>
      <c r="AI35" s="313"/>
      <c r="AJ35" s="313"/>
      <c r="AK35" s="313"/>
      <c r="AL35" s="313"/>
      <c r="AM35" s="313"/>
      <c r="AN35" s="313"/>
      <c r="AO35" s="313"/>
      <c r="AP35" s="313"/>
      <c r="AQ35" s="313"/>
      <c r="AR35" s="313"/>
      <c r="AS35" s="313"/>
      <c r="AT35" s="313"/>
      <c r="AU35" s="313"/>
      <c r="AV35" s="313"/>
      <c r="AX35" s="315">
        <f t="shared" si="42"/>
        <v>100</v>
      </c>
      <c r="AY35" s="315">
        <f t="shared" si="43"/>
        <v>0</v>
      </c>
      <c r="AZ35" s="313" t="s">
        <v>914</v>
      </c>
      <c r="BA35" s="313" t="s">
        <v>924</v>
      </c>
      <c r="BB35" s="313" t="s">
        <v>1048</v>
      </c>
      <c r="BC35" s="313" t="s">
        <v>737</v>
      </c>
      <c r="BD35" s="315" t="s">
        <v>450</v>
      </c>
      <c r="BE35" s="313" t="s">
        <v>739</v>
      </c>
      <c r="BF35" s="315">
        <v>7</v>
      </c>
      <c r="BG35" s="313" t="s">
        <v>740</v>
      </c>
      <c r="BH35" s="313">
        <v>100</v>
      </c>
      <c r="BI35" s="313">
        <v>100</v>
      </c>
      <c r="BJ35" s="313" t="s">
        <v>735</v>
      </c>
      <c r="BK35" s="313">
        <v>0</v>
      </c>
      <c r="BL35" s="313">
        <v>4</v>
      </c>
      <c r="BM35" s="313">
        <v>10</v>
      </c>
      <c r="BN35" s="313">
        <v>3</v>
      </c>
      <c r="BO35" s="313">
        <v>0</v>
      </c>
      <c r="BP35" s="313"/>
      <c r="BR35" s="315">
        <v>13</v>
      </c>
      <c r="BS35" s="315">
        <v>1500</v>
      </c>
      <c r="BT35" s="315">
        <v>55</v>
      </c>
      <c r="BU35" s="315">
        <v>3</v>
      </c>
      <c r="BV35" s="315">
        <v>1</v>
      </c>
      <c r="BW35" s="315">
        <v>12</v>
      </c>
      <c r="BX35" s="315">
        <v>21</v>
      </c>
      <c r="BY35" s="315">
        <v>20</v>
      </c>
      <c r="BZ35" s="315">
        <v>2</v>
      </c>
    </row>
    <row r="36" spans="1:78">
      <c r="A36" s="313" t="s">
        <v>1049</v>
      </c>
      <c r="B36" s="315" t="str">
        <f t="shared" si="30"/>
        <v>1D6</v>
      </c>
      <c r="C36" s="313" t="str">
        <f t="shared" si="31"/>
        <v>Carnivore</v>
      </c>
      <c r="D36" s="313" t="str">
        <f t="shared" si="32"/>
        <v>Aggressive</v>
      </c>
      <c r="E36" s="315">
        <v>0</v>
      </c>
      <c r="F36" s="315">
        <v>0</v>
      </c>
      <c r="G36" s="315">
        <v>0</v>
      </c>
      <c r="H36" s="315">
        <v>0</v>
      </c>
      <c r="I36" s="315">
        <v>0</v>
      </c>
      <c r="J36" s="315">
        <v>0</v>
      </c>
      <c r="K36" s="315">
        <v>0</v>
      </c>
      <c r="L36" s="315">
        <v>0</v>
      </c>
      <c r="M36" s="315">
        <v>15</v>
      </c>
      <c r="N36" s="315">
        <v>0</v>
      </c>
      <c r="O36" s="315">
        <f t="shared" si="33"/>
        <v>1</v>
      </c>
      <c r="P36" s="315">
        <f t="shared" si="34"/>
        <v>-3</v>
      </c>
      <c r="Q36" s="315" t="str">
        <f t="shared" si="35"/>
        <v>Light Hide</v>
      </c>
      <c r="R36" s="315" t="str">
        <f t="shared" si="36"/>
        <v>Light Hide</v>
      </c>
      <c r="S36" s="315" t="str">
        <f t="shared" si="37"/>
        <v>Light Hide</v>
      </c>
      <c r="T36" s="315" t="str">
        <f t="shared" si="38"/>
        <v>Light Hide</v>
      </c>
      <c r="U36" s="315" t="str">
        <f t="shared" si="39"/>
        <v>Light Hide</v>
      </c>
      <c r="V36" s="315" t="str">
        <f t="shared" si="40"/>
        <v>Light Hide</v>
      </c>
      <c r="W36" s="313" t="s">
        <v>626</v>
      </c>
      <c r="X36" s="313" t="s">
        <v>628</v>
      </c>
      <c r="Y36" s="313"/>
      <c r="Z36" s="313"/>
      <c r="AA36" s="313"/>
      <c r="AB36" s="313"/>
      <c r="AC36" s="313"/>
      <c r="AD36" s="315">
        <f t="shared" si="14"/>
        <v>10</v>
      </c>
      <c r="AE36" s="315">
        <f t="shared" si="41"/>
        <v>10</v>
      </c>
      <c r="AF36" s="313"/>
      <c r="AG36" s="313"/>
      <c r="AH36" s="313"/>
      <c r="AI36" s="313"/>
      <c r="AJ36" s="313"/>
      <c r="AK36" s="313"/>
      <c r="AL36" s="313"/>
      <c r="AM36" s="313"/>
      <c r="AN36" s="313"/>
      <c r="AO36" s="313"/>
      <c r="AP36" s="313"/>
      <c r="AQ36" s="313"/>
      <c r="AR36" s="313"/>
      <c r="AS36" s="313"/>
      <c r="AT36" s="313"/>
      <c r="AU36" s="313"/>
      <c r="AV36" s="313"/>
      <c r="AX36" s="315">
        <f t="shared" si="42"/>
        <v>30</v>
      </c>
      <c r="AY36" s="315" t="str">
        <f t="shared" si="43"/>
        <v>Yes</v>
      </c>
      <c r="AZ36" s="313" t="s">
        <v>914</v>
      </c>
      <c r="BA36" s="313" t="s">
        <v>924</v>
      </c>
      <c r="BB36" s="313" t="s">
        <v>1049</v>
      </c>
      <c r="BC36" s="313" t="s">
        <v>452</v>
      </c>
      <c r="BD36" s="315" t="s">
        <v>746</v>
      </c>
      <c r="BE36" s="313" t="s">
        <v>739</v>
      </c>
      <c r="BF36" s="315">
        <v>1</v>
      </c>
      <c r="BG36" s="313" t="s">
        <v>740</v>
      </c>
      <c r="BH36" s="313">
        <v>20</v>
      </c>
      <c r="BI36" s="313">
        <v>30</v>
      </c>
      <c r="BJ36" s="313" t="s">
        <v>735</v>
      </c>
      <c r="BK36" s="313">
        <v>-2</v>
      </c>
      <c r="BL36" s="313">
        <v>3</v>
      </c>
      <c r="BM36" s="313">
        <v>3</v>
      </c>
      <c r="BN36" s="313">
        <v>2</v>
      </c>
      <c r="BO36" s="313">
        <v>-3</v>
      </c>
      <c r="BP36" s="313" t="s">
        <v>584</v>
      </c>
      <c r="BR36" s="315">
        <v>14</v>
      </c>
      <c r="BS36" s="315">
        <v>3000</v>
      </c>
      <c r="BT36" s="315">
        <v>50</v>
      </c>
      <c r="BU36" s="315">
        <v>3</v>
      </c>
      <c r="BV36" s="315">
        <v>1</v>
      </c>
      <c r="BW36" s="315">
        <v>14</v>
      </c>
      <c r="BX36" s="315">
        <v>24</v>
      </c>
      <c r="BY36" s="315">
        <v>40</v>
      </c>
      <c r="BZ36" s="315">
        <v>4</v>
      </c>
    </row>
    <row r="37" spans="1:78">
      <c r="A37" s="313" t="s">
        <v>925</v>
      </c>
      <c r="B37" s="315">
        <f t="shared" si="30"/>
        <v>1</v>
      </c>
      <c r="C37" s="313" t="str">
        <f t="shared" si="31"/>
        <v>Carnivore</v>
      </c>
      <c r="D37" s="313" t="str">
        <f t="shared" si="32"/>
        <v>Ferocious</v>
      </c>
      <c r="E37" s="315">
        <v>0</v>
      </c>
      <c r="F37" s="315">
        <v>0</v>
      </c>
      <c r="G37" s="315">
        <v>0</v>
      </c>
      <c r="H37" s="315">
        <v>0</v>
      </c>
      <c r="I37" s="315">
        <v>0</v>
      </c>
      <c r="J37" s="315">
        <v>0</v>
      </c>
      <c r="K37" s="315">
        <v>0</v>
      </c>
      <c r="L37" s="315">
        <v>0</v>
      </c>
      <c r="M37" s="315">
        <v>15</v>
      </c>
      <c r="N37" s="315">
        <v>0</v>
      </c>
      <c r="O37" s="315">
        <f t="shared" si="33"/>
        <v>9</v>
      </c>
      <c r="P37" s="315">
        <f t="shared" si="34"/>
        <v>1</v>
      </c>
      <c r="Q37" s="315" t="str">
        <f t="shared" si="35"/>
        <v>Fur/Feathers</v>
      </c>
      <c r="R37" s="315" t="str">
        <f t="shared" si="36"/>
        <v>Fur/Feathers</v>
      </c>
      <c r="S37" s="315" t="str">
        <f t="shared" si="37"/>
        <v>Fur/Feathers</v>
      </c>
      <c r="T37" s="315" t="str">
        <f t="shared" si="38"/>
        <v>Fur/Feathers</v>
      </c>
      <c r="U37" s="315" t="str">
        <f t="shared" si="39"/>
        <v>Fur/Feathers</v>
      </c>
      <c r="V37" s="315" t="str">
        <f t="shared" si="40"/>
        <v>Fur/Feathers</v>
      </c>
      <c r="W37" s="313" t="s">
        <v>629</v>
      </c>
      <c r="X37" s="313" t="s">
        <v>543</v>
      </c>
      <c r="Y37" s="313"/>
      <c r="Z37" s="313"/>
      <c r="AA37" s="313"/>
      <c r="AB37" s="313"/>
      <c r="AC37" s="313"/>
      <c r="AD37" s="315">
        <f t="shared" si="14"/>
        <v>15</v>
      </c>
      <c r="AE37" s="315">
        <f t="shared" si="41"/>
        <v>15</v>
      </c>
      <c r="AF37" s="313"/>
      <c r="AG37" s="313"/>
      <c r="AH37" s="313" t="s">
        <v>484</v>
      </c>
      <c r="AI37" s="313"/>
      <c r="AJ37" s="313"/>
      <c r="AK37" s="313"/>
      <c r="AL37" s="313"/>
      <c r="AM37" s="313"/>
      <c r="AN37" s="313"/>
      <c r="AO37" s="313"/>
      <c r="AP37" s="313"/>
      <c r="AQ37" s="313"/>
      <c r="AR37" s="313"/>
      <c r="AS37" s="313"/>
      <c r="AT37" s="313"/>
      <c r="AU37" s="313"/>
      <c r="AV37" s="313"/>
      <c r="AX37" s="315">
        <f t="shared" si="42"/>
        <v>75</v>
      </c>
      <c r="AY37" s="315">
        <f t="shared" si="43"/>
        <v>0</v>
      </c>
      <c r="AZ37" s="313" t="s">
        <v>914</v>
      </c>
      <c r="BA37" s="313" t="s">
        <v>811</v>
      </c>
      <c r="BB37" s="313" t="s">
        <v>925</v>
      </c>
      <c r="BC37" s="313" t="s">
        <v>737</v>
      </c>
      <c r="BD37" s="315">
        <v>1</v>
      </c>
      <c r="BE37" s="313" t="s">
        <v>627</v>
      </c>
      <c r="BF37" s="315">
        <v>9</v>
      </c>
      <c r="BG37" s="313" t="s">
        <v>741</v>
      </c>
      <c r="BH37" s="313">
        <v>150</v>
      </c>
      <c r="BI37" s="313">
        <v>75</v>
      </c>
      <c r="BJ37" s="317" t="s">
        <v>2437</v>
      </c>
      <c r="BK37" s="313">
        <v>0</v>
      </c>
      <c r="BL37" s="313">
        <v>6</v>
      </c>
      <c r="BM37" s="313">
        <v>12</v>
      </c>
      <c r="BN37" s="313">
        <v>4</v>
      </c>
      <c r="BO37" s="313">
        <v>0</v>
      </c>
      <c r="BP37" s="313"/>
      <c r="BR37" s="315">
        <v>15</v>
      </c>
      <c r="BS37" s="315">
        <v>6000</v>
      </c>
      <c r="BT37" s="315">
        <v>40</v>
      </c>
      <c r="BU37" s="315">
        <v>4</v>
      </c>
      <c r="BV37" s="315">
        <v>1</v>
      </c>
      <c r="BW37" s="315">
        <v>16</v>
      </c>
      <c r="BX37" s="315">
        <v>27</v>
      </c>
      <c r="BY37" s="315">
        <v>60</v>
      </c>
      <c r="BZ37" s="315">
        <v>6</v>
      </c>
    </row>
    <row r="38" spans="1:78">
      <c r="A38" s="313" t="s">
        <v>814</v>
      </c>
      <c r="B38" s="315" t="str">
        <f t="shared" si="30"/>
        <v>3D6</v>
      </c>
      <c r="C38" s="313" t="str">
        <f t="shared" si="31"/>
        <v>Herbivore</v>
      </c>
      <c r="D38" s="313" t="str">
        <f t="shared" si="32"/>
        <v>Aggressive</v>
      </c>
      <c r="E38" s="315">
        <v>0</v>
      </c>
      <c r="F38" s="315">
        <v>0</v>
      </c>
      <c r="G38" s="315">
        <v>0</v>
      </c>
      <c r="H38" s="315">
        <v>0</v>
      </c>
      <c r="I38" s="315">
        <v>0</v>
      </c>
      <c r="J38" s="315">
        <v>0</v>
      </c>
      <c r="K38" s="315">
        <v>0</v>
      </c>
      <c r="L38" s="315">
        <v>0</v>
      </c>
      <c r="M38" s="315">
        <v>15</v>
      </c>
      <c r="N38" s="315">
        <v>0</v>
      </c>
      <c r="O38" s="315">
        <f t="shared" si="33"/>
        <v>2</v>
      </c>
      <c r="P38" s="315">
        <f t="shared" si="34"/>
        <v>4</v>
      </c>
      <c r="Q38" s="315" t="str">
        <f t="shared" si="35"/>
        <v>Light Hide</v>
      </c>
      <c r="R38" s="315" t="str">
        <f t="shared" si="36"/>
        <v>Light Hide</v>
      </c>
      <c r="S38" s="315" t="str">
        <f t="shared" si="37"/>
        <v>Light Hide</v>
      </c>
      <c r="T38" s="315" t="str">
        <f t="shared" si="38"/>
        <v>Light Hide</v>
      </c>
      <c r="U38" s="315" t="str">
        <f t="shared" si="39"/>
        <v>Light Hide</v>
      </c>
      <c r="V38" s="315" t="str">
        <f t="shared" si="40"/>
        <v>Light Hide</v>
      </c>
      <c r="W38" s="313" t="s">
        <v>585</v>
      </c>
      <c r="X38" s="313" t="s">
        <v>586</v>
      </c>
      <c r="Y38" s="313" t="s">
        <v>586</v>
      </c>
      <c r="Z38" s="313"/>
      <c r="AA38" s="313"/>
      <c r="AB38" s="313"/>
      <c r="AC38" s="313"/>
      <c r="AD38" s="315">
        <f t="shared" si="14"/>
        <v>15</v>
      </c>
      <c r="AE38" s="315">
        <f t="shared" si="41"/>
        <v>15</v>
      </c>
      <c r="AF38" s="313"/>
      <c r="AG38" s="313"/>
      <c r="AH38" s="313"/>
      <c r="AI38" s="313"/>
      <c r="AJ38" s="313"/>
      <c r="AK38" s="313"/>
      <c r="AL38" s="313"/>
      <c r="AM38" s="313"/>
      <c r="AN38" s="313"/>
      <c r="AO38" s="313"/>
      <c r="AP38" s="313"/>
      <c r="AQ38" s="313"/>
      <c r="AR38" s="313"/>
      <c r="AS38" s="313"/>
      <c r="AT38" s="313"/>
      <c r="AU38" s="313"/>
      <c r="AV38" s="313"/>
      <c r="AX38" s="315">
        <f t="shared" si="42"/>
        <v>70</v>
      </c>
      <c r="AY38" s="315">
        <f t="shared" si="43"/>
        <v>0</v>
      </c>
      <c r="AZ38" s="313" t="s">
        <v>914</v>
      </c>
      <c r="BA38" s="313" t="s">
        <v>813</v>
      </c>
      <c r="BB38" s="313" t="s">
        <v>814</v>
      </c>
      <c r="BC38" s="313" t="s">
        <v>583</v>
      </c>
      <c r="BD38" s="315" t="s">
        <v>582</v>
      </c>
      <c r="BE38" s="313" t="s">
        <v>739</v>
      </c>
      <c r="BF38" s="315">
        <v>2</v>
      </c>
      <c r="BG38" s="313" t="s">
        <v>741</v>
      </c>
      <c r="BH38" s="313">
        <v>3000</v>
      </c>
      <c r="BI38" s="313">
        <v>70</v>
      </c>
      <c r="BJ38" s="313" t="s">
        <v>735</v>
      </c>
      <c r="BK38" s="313">
        <v>-4</v>
      </c>
      <c r="BL38" s="313">
        <v>14</v>
      </c>
      <c r="BM38" s="313">
        <v>24</v>
      </c>
      <c r="BN38" s="313">
        <v>10</v>
      </c>
      <c r="BO38" s="313">
        <v>3</v>
      </c>
      <c r="BP38" s="313"/>
      <c r="BR38" s="315">
        <v>16</v>
      </c>
      <c r="BS38" s="315">
        <v>12000</v>
      </c>
      <c r="BT38" s="315">
        <v>30</v>
      </c>
      <c r="BU38" s="315">
        <v>4</v>
      </c>
      <c r="BV38" s="315">
        <v>1</v>
      </c>
      <c r="BW38" s="315">
        <v>19</v>
      </c>
      <c r="BX38" s="315">
        <v>30</v>
      </c>
      <c r="BY38" s="315">
        <v>80</v>
      </c>
      <c r="BZ38" s="315">
        <v>8</v>
      </c>
    </row>
    <row r="39" spans="1:78">
      <c r="A39" s="313" t="s">
        <v>812</v>
      </c>
      <c r="B39" s="315">
        <f t="shared" si="30"/>
        <v>1</v>
      </c>
      <c r="C39" s="313" t="str">
        <f t="shared" si="31"/>
        <v>Carnivore</v>
      </c>
      <c r="D39" s="313" t="str">
        <f t="shared" si="32"/>
        <v>Non-threatening</v>
      </c>
      <c r="E39" s="315">
        <v>0</v>
      </c>
      <c r="F39" s="315">
        <v>0</v>
      </c>
      <c r="G39" s="315">
        <v>0</v>
      </c>
      <c r="H39" s="315">
        <v>0</v>
      </c>
      <c r="I39" s="315">
        <v>0</v>
      </c>
      <c r="J39" s="315">
        <v>0</v>
      </c>
      <c r="K39" s="315">
        <v>0</v>
      </c>
      <c r="L39" s="315">
        <v>0</v>
      </c>
      <c r="M39" s="315">
        <v>15</v>
      </c>
      <c r="N39" s="315">
        <v>0</v>
      </c>
      <c r="O39" s="315">
        <f t="shared" ref="O39" si="44">BF39</f>
        <v>5</v>
      </c>
      <c r="P39" s="315">
        <f t="shared" ref="P39" si="45">LOOKUP(BH39,$BU$54:$BU$71,$BS$54:$BS$71)</f>
        <v>-5</v>
      </c>
      <c r="Q39" s="315" t="str">
        <f t="shared" si="35"/>
        <v>Fur/Feathers</v>
      </c>
      <c r="R39" s="315" t="str">
        <f t="shared" si="36"/>
        <v>Fur/Feathers</v>
      </c>
      <c r="S39" s="315" t="str">
        <f t="shared" si="37"/>
        <v>Fur/Feathers</v>
      </c>
      <c r="T39" s="315" t="str">
        <f t="shared" si="38"/>
        <v>Fur/Feathers</v>
      </c>
      <c r="U39" s="315" t="str">
        <f t="shared" si="39"/>
        <v>Fur/Feathers</v>
      </c>
      <c r="V39" s="315" t="str">
        <f t="shared" si="40"/>
        <v>Fur/Feathers</v>
      </c>
      <c r="W39" s="313" t="s">
        <v>580</v>
      </c>
      <c r="X39" s="313" t="s">
        <v>543</v>
      </c>
      <c r="Y39" s="313" t="s">
        <v>581</v>
      </c>
      <c r="Z39" s="313" t="s">
        <v>581</v>
      </c>
      <c r="AA39" s="313"/>
      <c r="AB39" s="313"/>
      <c r="AC39" s="313"/>
      <c r="AD39" s="315">
        <f t="shared" si="14"/>
        <v>15</v>
      </c>
      <c r="AE39" s="315">
        <f t="shared" si="41"/>
        <v>15</v>
      </c>
      <c r="AF39" s="313"/>
      <c r="AG39" s="313"/>
      <c r="AH39" s="313"/>
      <c r="AI39" s="313"/>
      <c r="AJ39" s="313"/>
      <c r="AK39" s="313"/>
      <c r="AL39" s="313"/>
      <c r="AM39" s="313"/>
      <c r="AN39" s="313"/>
      <c r="AO39" s="313"/>
      <c r="AP39" s="313"/>
      <c r="AQ39" s="313"/>
      <c r="AR39" s="313"/>
      <c r="AS39" s="313"/>
      <c r="AT39" s="313"/>
      <c r="AU39" s="313"/>
      <c r="AV39" s="313"/>
      <c r="AX39" s="315">
        <f t="shared" si="42"/>
        <v>80</v>
      </c>
      <c r="AY39" s="315">
        <f t="shared" si="43"/>
        <v>0</v>
      </c>
      <c r="AZ39" s="313" t="s">
        <v>914</v>
      </c>
      <c r="BA39" s="313" t="s">
        <v>813</v>
      </c>
      <c r="BB39" s="313" t="s">
        <v>812</v>
      </c>
      <c r="BC39" s="313" t="s">
        <v>737</v>
      </c>
      <c r="BD39" s="315">
        <v>1</v>
      </c>
      <c r="BE39" s="313" t="s">
        <v>630</v>
      </c>
      <c r="BF39" s="315">
        <v>5</v>
      </c>
      <c r="BG39" s="313" t="s">
        <v>741</v>
      </c>
      <c r="BH39" s="313">
        <v>10</v>
      </c>
      <c r="BI39" s="313">
        <v>80</v>
      </c>
      <c r="BJ39" s="317" t="s">
        <v>2437</v>
      </c>
      <c r="BK39" s="313">
        <v>-4</v>
      </c>
      <c r="BL39" s="313">
        <v>1</v>
      </c>
      <c r="BM39" s="313">
        <v>3</v>
      </c>
      <c r="BN39" s="313">
        <v>0</v>
      </c>
      <c r="BO39" s="313">
        <v>0</v>
      </c>
      <c r="BP39" s="313"/>
      <c r="BR39" s="315">
        <v>17</v>
      </c>
      <c r="BS39" s="315">
        <v>24000</v>
      </c>
      <c r="BT39" s="315">
        <v>20</v>
      </c>
      <c r="BU39" s="315">
        <v>4</v>
      </c>
      <c r="BV39" s="315">
        <v>1</v>
      </c>
      <c r="BW39" s="315">
        <v>21</v>
      </c>
      <c r="BX39" s="315">
        <v>33</v>
      </c>
      <c r="BY39" s="315">
        <v>120</v>
      </c>
      <c r="BZ39" s="315">
        <v>10</v>
      </c>
    </row>
    <row r="40" spans="1:78">
      <c r="A40" s="313" t="s">
        <v>759</v>
      </c>
      <c r="B40" s="315" t="str">
        <f t="shared" si="30"/>
        <v>40-400</v>
      </c>
      <c r="C40" s="313" t="str">
        <f t="shared" si="31"/>
        <v>Herbivore</v>
      </c>
      <c r="D40" s="313" t="str">
        <f t="shared" si="32"/>
        <v>Non-threatening</v>
      </c>
      <c r="E40" s="315">
        <v>0</v>
      </c>
      <c r="F40" s="315">
        <v>0</v>
      </c>
      <c r="G40" s="315">
        <v>0</v>
      </c>
      <c r="H40" s="315">
        <v>0</v>
      </c>
      <c r="I40" s="315">
        <v>0</v>
      </c>
      <c r="J40" s="315">
        <v>0</v>
      </c>
      <c r="K40" s="315">
        <v>0</v>
      </c>
      <c r="L40" s="315">
        <v>0</v>
      </c>
      <c r="M40" s="315">
        <v>15</v>
      </c>
      <c r="N40" s="315">
        <v>0</v>
      </c>
      <c r="O40" s="315">
        <f t="shared" si="33"/>
        <v>2</v>
      </c>
      <c r="P40" s="315">
        <f t="shared" si="34"/>
        <v>2</v>
      </c>
      <c r="Q40" s="315" t="str">
        <f t="shared" si="35"/>
        <v>Light Hide</v>
      </c>
      <c r="R40" s="315" t="str">
        <f t="shared" si="36"/>
        <v>Light Hide</v>
      </c>
      <c r="S40" s="315" t="str">
        <f t="shared" si="37"/>
        <v>Light Hide</v>
      </c>
      <c r="T40" s="315" t="str">
        <f t="shared" si="38"/>
        <v>Light Hide</v>
      </c>
      <c r="U40" s="315" t="str">
        <f t="shared" si="39"/>
        <v>Light Hide</v>
      </c>
      <c r="V40" s="315" t="str">
        <f t="shared" si="40"/>
        <v>Light Hide</v>
      </c>
      <c r="W40" s="313" t="s">
        <v>510</v>
      </c>
      <c r="X40" s="313" t="s">
        <v>749</v>
      </c>
      <c r="Y40" s="313" t="s">
        <v>511</v>
      </c>
      <c r="Z40" s="313"/>
      <c r="AA40" s="313"/>
      <c r="AB40" s="313"/>
      <c r="AC40" s="313"/>
      <c r="AD40" s="315">
        <f t="shared" si="14"/>
        <v>5</v>
      </c>
      <c r="AE40" s="315">
        <f t="shared" si="41"/>
        <v>5</v>
      </c>
      <c r="AF40" s="313"/>
      <c r="AG40" s="313"/>
      <c r="AH40" s="313"/>
      <c r="AI40" s="313"/>
      <c r="AJ40" s="313"/>
      <c r="AK40" s="313"/>
      <c r="AL40" s="313"/>
      <c r="AM40" s="313"/>
      <c r="AN40" s="313"/>
      <c r="AO40" s="313"/>
      <c r="AP40" s="313"/>
      <c r="AQ40" s="313"/>
      <c r="AR40" s="313"/>
      <c r="AS40" s="313"/>
      <c r="AT40" s="313"/>
      <c r="AU40" s="313"/>
      <c r="AV40" s="313"/>
      <c r="AX40" s="315">
        <f t="shared" si="42"/>
        <v>70</v>
      </c>
      <c r="AY40" s="315">
        <f t="shared" si="43"/>
        <v>0</v>
      </c>
      <c r="AZ40" s="313" t="s">
        <v>914</v>
      </c>
      <c r="BA40" s="313" t="s">
        <v>757</v>
      </c>
      <c r="BB40" s="313" t="s">
        <v>759</v>
      </c>
      <c r="BC40" s="313" t="s">
        <v>733</v>
      </c>
      <c r="BD40" s="315" t="s">
        <v>509</v>
      </c>
      <c r="BE40" s="313" t="s">
        <v>541</v>
      </c>
      <c r="BF40" s="315">
        <v>2</v>
      </c>
      <c r="BG40" s="313" t="s">
        <v>542</v>
      </c>
      <c r="BH40" s="313">
        <v>200</v>
      </c>
      <c r="BI40" s="313">
        <v>70</v>
      </c>
      <c r="BJ40" s="313" t="s">
        <v>735</v>
      </c>
      <c r="BK40" s="313">
        <v>0</v>
      </c>
      <c r="BL40" s="313">
        <v>6</v>
      </c>
      <c r="BM40" s="313">
        <v>12</v>
      </c>
      <c r="BN40" s="313">
        <v>3</v>
      </c>
      <c r="BO40" s="313">
        <v>0</v>
      </c>
      <c r="BP40" s="313"/>
      <c r="BR40" s="315">
        <v>18</v>
      </c>
      <c r="BS40" s="313" t="s">
        <v>512</v>
      </c>
    </row>
    <row r="41" spans="1:78">
      <c r="A41" s="313" t="s">
        <v>758</v>
      </c>
      <c r="B41" s="315" t="str">
        <f t="shared" si="30"/>
        <v>100-10000</v>
      </c>
      <c r="C41" s="313" t="str">
        <f t="shared" si="31"/>
        <v>Carnivore</v>
      </c>
      <c r="D41" s="313" t="str">
        <f t="shared" si="32"/>
        <v>Non-threatening</v>
      </c>
      <c r="E41" s="315">
        <v>0</v>
      </c>
      <c r="F41" s="315">
        <v>0</v>
      </c>
      <c r="G41" s="315">
        <v>0</v>
      </c>
      <c r="H41" s="315">
        <v>0</v>
      </c>
      <c r="I41" s="315">
        <v>0</v>
      </c>
      <c r="J41" s="315">
        <v>0</v>
      </c>
      <c r="K41" s="315">
        <v>0</v>
      </c>
      <c r="L41" s="315">
        <v>0</v>
      </c>
      <c r="M41" s="315">
        <v>15</v>
      </c>
      <c r="N41" s="315">
        <v>0</v>
      </c>
      <c r="O41" s="315">
        <f t="shared" si="33"/>
        <v>5</v>
      </c>
      <c r="P41" s="315">
        <f t="shared" si="34"/>
        <v>-3</v>
      </c>
      <c r="Q41" s="315" t="str">
        <f t="shared" si="35"/>
        <v>Fur/Feathers</v>
      </c>
      <c r="R41" s="315" t="str">
        <f t="shared" si="36"/>
        <v>Fur/Feathers</v>
      </c>
      <c r="S41" s="315" t="str">
        <f t="shared" si="37"/>
        <v>Fur/Feathers</v>
      </c>
      <c r="T41" s="315" t="str">
        <f t="shared" si="38"/>
        <v>Fur/Feathers</v>
      </c>
      <c r="U41" s="315" t="str">
        <f t="shared" si="39"/>
        <v>Fur/Feathers</v>
      </c>
      <c r="V41" s="315" t="str">
        <f t="shared" si="40"/>
        <v>Fur/Feathers</v>
      </c>
      <c r="W41" s="313" t="s">
        <v>508</v>
      </c>
      <c r="X41" s="313" t="s">
        <v>543</v>
      </c>
      <c r="Y41" s="313"/>
      <c r="Z41" s="313"/>
      <c r="AA41" s="313"/>
      <c r="AB41" s="313"/>
      <c r="AC41" s="313"/>
      <c r="AD41" s="315">
        <f t="shared" si="14"/>
        <v>5</v>
      </c>
      <c r="AE41" s="315">
        <f t="shared" si="41"/>
        <v>5</v>
      </c>
      <c r="AF41" s="313"/>
      <c r="AG41" s="313"/>
      <c r="AH41" s="313"/>
      <c r="AI41" s="313"/>
      <c r="AJ41" s="313"/>
      <c r="AK41" s="313"/>
      <c r="AL41" s="313"/>
      <c r="AM41" s="313"/>
      <c r="AN41" s="313"/>
      <c r="AO41" s="313"/>
      <c r="AP41" s="313"/>
      <c r="AQ41" s="313"/>
      <c r="AR41" s="313"/>
      <c r="AS41" s="313"/>
      <c r="AT41" s="313"/>
      <c r="AU41" s="313"/>
      <c r="AV41" s="313"/>
      <c r="AX41" s="315">
        <f t="shared" si="42"/>
        <v>120</v>
      </c>
      <c r="AY41" s="315">
        <f t="shared" si="43"/>
        <v>0</v>
      </c>
      <c r="AZ41" s="313" t="s">
        <v>914</v>
      </c>
      <c r="BA41" s="313" t="s">
        <v>757</v>
      </c>
      <c r="BB41" s="313" t="s">
        <v>758</v>
      </c>
      <c r="BC41" s="313" t="s">
        <v>737</v>
      </c>
      <c r="BD41" s="315" t="s">
        <v>587</v>
      </c>
      <c r="BE41" s="313" t="s">
        <v>541</v>
      </c>
      <c r="BF41" s="315">
        <v>5</v>
      </c>
      <c r="BG41" s="313" t="s">
        <v>542</v>
      </c>
      <c r="BH41" s="313">
        <v>20</v>
      </c>
      <c r="BI41" s="313">
        <v>120</v>
      </c>
      <c r="BJ41" s="317" t="s">
        <v>2437</v>
      </c>
      <c r="BK41" s="313">
        <v>-3</v>
      </c>
      <c r="BL41" s="313">
        <v>2</v>
      </c>
      <c r="BM41" s="313">
        <v>4</v>
      </c>
      <c r="BN41" s="313">
        <v>1</v>
      </c>
      <c r="BO41" s="313">
        <v>-4</v>
      </c>
      <c r="BP41" s="313"/>
      <c r="BR41" s="313" t="s">
        <v>674</v>
      </c>
    </row>
    <row r="42" spans="1:78">
      <c r="A42" s="313" t="s">
        <v>760</v>
      </c>
      <c r="B42" s="315" t="str">
        <f t="shared" si="30"/>
        <v>2D6</v>
      </c>
      <c r="C42" s="313" t="str">
        <f t="shared" si="31"/>
        <v>Herbivore</v>
      </c>
      <c r="D42" s="313" t="str">
        <f t="shared" si="32"/>
        <v>Non-threatening</v>
      </c>
      <c r="E42" s="315">
        <v>0</v>
      </c>
      <c r="F42" s="315">
        <v>0</v>
      </c>
      <c r="G42" s="315">
        <v>0</v>
      </c>
      <c r="H42" s="315">
        <v>0</v>
      </c>
      <c r="I42" s="315">
        <v>0</v>
      </c>
      <c r="J42" s="315">
        <v>0</v>
      </c>
      <c r="K42" s="315">
        <v>0</v>
      </c>
      <c r="L42" s="315">
        <v>0</v>
      </c>
      <c r="M42" s="315">
        <v>15</v>
      </c>
      <c r="N42" s="315">
        <v>0</v>
      </c>
      <c r="O42" s="315">
        <f t="shared" si="33"/>
        <v>1</v>
      </c>
      <c r="P42" s="315">
        <f t="shared" si="34"/>
        <v>0</v>
      </c>
      <c r="Q42" s="315" t="str">
        <f t="shared" si="35"/>
        <v>Light Hide</v>
      </c>
      <c r="R42" s="315" t="str">
        <f t="shared" si="36"/>
        <v>Light Hide</v>
      </c>
      <c r="S42" s="315" t="str">
        <f t="shared" si="37"/>
        <v>Light Hide</v>
      </c>
      <c r="T42" s="315" t="str">
        <f t="shared" si="38"/>
        <v>Light Hide</v>
      </c>
      <c r="U42" s="315" t="str">
        <f t="shared" si="39"/>
        <v>Light Hide</v>
      </c>
      <c r="V42" s="315" t="str">
        <f t="shared" si="40"/>
        <v>Light Hide</v>
      </c>
      <c r="W42" s="313" t="s">
        <v>441</v>
      </c>
      <c r="X42" s="313" t="s">
        <v>749</v>
      </c>
      <c r="Y42" s="313" t="s">
        <v>442</v>
      </c>
      <c r="Z42" s="313"/>
      <c r="AA42" s="313"/>
      <c r="AB42" s="313"/>
      <c r="AC42" s="313"/>
      <c r="AD42" s="315">
        <f t="shared" si="14"/>
        <v>5</v>
      </c>
      <c r="AE42" s="315">
        <f t="shared" si="41"/>
        <v>5</v>
      </c>
      <c r="AF42" s="313"/>
      <c r="AG42" s="313"/>
      <c r="AH42" s="313"/>
      <c r="AI42" s="313"/>
      <c r="AJ42" s="313"/>
      <c r="AK42" s="313"/>
      <c r="AL42" s="313"/>
      <c r="AM42" s="313"/>
      <c r="AN42" s="313"/>
      <c r="AO42" s="313"/>
      <c r="AP42" s="313"/>
      <c r="AQ42" s="313"/>
      <c r="AR42" s="313"/>
      <c r="AS42" s="313"/>
      <c r="AT42" s="313"/>
      <c r="AU42" s="313"/>
      <c r="AV42" s="313"/>
      <c r="AX42" s="315">
        <f t="shared" si="42"/>
        <v>60</v>
      </c>
      <c r="AY42" s="315">
        <f t="shared" si="43"/>
        <v>0</v>
      </c>
      <c r="AZ42" s="313" t="s">
        <v>914</v>
      </c>
      <c r="BA42" s="313" t="s">
        <v>761</v>
      </c>
      <c r="BB42" s="313" t="s">
        <v>760</v>
      </c>
      <c r="BC42" s="313" t="s">
        <v>733</v>
      </c>
      <c r="BD42" s="315" t="s">
        <v>738</v>
      </c>
      <c r="BE42" s="313" t="s">
        <v>541</v>
      </c>
      <c r="BF42" s="315">
        <v>1</v>
      </c>
      <c r="BG42" s="313" t="s">
        <v>542</v>
      </c>
      <c r="BH42" s="313">
        <v>80</v>
      </c>
      <c r="BI42" s="313">
        <v>60</v>
      </c>
      <c r="BJ42" s="313" t="s">
        <v>440</v>
      </c>
      <c r="BK42" s="313">
        <v>0</v>
      </c>
      <c r="BL42" s="313">
        <v>4</v>
      </c>
      <c r="BM42" s="313">
        <v>8</v>
      </c>
      <c r="BN42" s="313">
        <v>2</v>
      </c>
      <c r="BO42" s="313">
        <v>0</v>
      </c>
      <c r="BP42" s="313"/>
    </row>
    <row r="43" spans="1:78">
      <c r="A43" s="313" t="s">
        <v>565</v>
      </c>
      <c r="B43" s="315" t="str">
        <f t="shared" si="30"/>
        <v>3D6</v>
      </c>
      <c r="C43" s="313" t="str">
        <f t="shared" si="31"/>
        <v>Carnivore</v>
      </c>
      <c r="D43" s="313" t="str">
        <f t="shared" si="32"/>
        <v>Aggressive</v>
      </c>
      <c r="E43" s="315">
        <v>0</v>
      </c>
      <c r="F43" s="315">
        <v>0</v>
      </c>
      <c r="G43" s="315">
        <v>0</v>
      </c>
      <c r="H43" s="315">
        <v>0</v>
      </c>
      <c r="I43" s="315">
        <v>0</v>
      </c>
      <c r="J43" s="315">
        <v>0</v>
      </c>
      <c r="K43" s="315">
        <v>0</v>
      </c>
      <c r="L43" s="315">
        <v>0</v>
      </c>
      <c r="M43" s="315">
        <v>15</v>
      </c>
      <c r="N43" s="315">
        <v>0</v>
      </c>
      <c r="O43" s="315">
        <f t="shared" si="33"/>
        <v>7</v>
      </c>
      <c r="P43" s="315">
        <f t="shared" si="34"/>
        <v>-3</v>
      </c>
      <c r="Q43" s="315" t="str">
        <f t="shared" si="35"/>
        <v>Light Hide</v>
      </c>
      <c r="R43" s="315" t="str">
        <f t="shared" si="36"/>
        <v>Light Hide</v>
      </c>
      <c r="S43" s="315" t="str">
        <f t="shared" si="37"/>
        <v>Light Hide</v>
      </c>
      <c r="T43" s="315" t="str">
        <f t="shared" si="38"/>
        <v>Light Hide</v>
      </c>
      <c r="U43" s="315" t="str">
        <f t="shared" si="39"/>
        <v>Light Hide</v>
      </c>
      <c r="V43" s="315" t="str">
        <f t="shared" si="40"/>
        <v>Light Hide</v>
      </c>
      <c r="W43" s="313" t="s">
        <v>491</v>
      </c>
      <c r="X43" s="313" t="s">
        <v>543</v>
      </c>
      <c r="Y43" s="313"/>
      <c r="Z43" s="313"/>
      <c r="AA43" s="313"/>
      <c r="AB43" s="313"/>
      <c r="AC43" s="313"/>
      <c r="AD43" s="315">
        <f t="shared" si="14"/>
        <v>10</v>
      </c>
      <c r="AE43" s="315">
        <f t="shared" si="41"/>
        <v>10</v>
      </c>
      <c r="AF43" s="313"/>
      <c r="AG43" s="313"/>
      <c r="AH43" s="313"/>
      <c r="AI43" s="313"/>
      <c r="AJ43" s="313"/>
      <c r="AK43" s="313"/>
      <c r="AL43" s="313"/>
      <c r="AM43" s="313"/>
      <c r="AN43" s="313"/>
      <c r="AO43" s="313"/>
      <c r="AP43" s="313"/>
      <c r="AQ43" s="313"/>
      <c r="AR43" s="313"/>
      <c r="AS43" s="313"/>
      <c r="AT43" s="313"/>
      <c r="AU43" s="313"/>
      <c r="AV43" s="313"/>
      <c r="AX43" s="315">
        <f t="shared" si="42"/>
        <v>100</v>
      </c>
      <c r="AY43" s="315">
        <f t="shared" si="43"/>
        <v>0</v>
      </c>
      <c r="AZ43" s="313" t="s">
        <v>914</v>
      </c>
      <c r="BA43" s="313" t="s">
        <v>566</v>
      </c>
      <c r="BB43" s="313" t="s">
        <v>565</v>
      </c>
      <c r="BC43" s="313" t="s">
        <v>737</v>
      </c>
      <c r="BD43" s="315" t="s">
        <v>490</v>
      </c>
      <c r="BE43" s="313" t="s">
        <v>739</v>
      </c>
      <c r="BF43" s="315">
        <v>7</v>
      </c>
      <c r="BG43" s="313" t="s">
        <v>740</v>
      </c>
      <c r="BH43" s="313">
        <v>25</v>
      </c>
      <c r="BI43" s="313">
        <v>100</v>
      </c>
      <c r="BJ43" s="313" t="s">
        <v>735</v>
      </c>
      <c r="BK43" s="313">
        <v>-2</v>
      </c>
      <c r="BL43" s="313">
        <v>1</v>
      </c>
      <c r="BM43" s="313">
        <v>5</v>
      </c>
      <c r="BN43" s="313">
        <v>3</v>
      </c>
      <c r="BO43" s="313">
        <v>-3</v>
      </c>
      <c r="BP43" s="313"/>
    </row>
    <row r="44" spans="1:78">
      <c r="A44" s="313" t="s">
        <v>763</v>
      </c>
      <c r="B44" s="315" t="str">
        <f t="shared" si="30"/>
        <v>1D6</v>
      </c>
      <c r="C44" s="313" t="str">
        <f t="shared" si="31"/>
        <v>Herbivore</v>
      </c>
      <c r="D44" s="313" t="str">
        <f t="shared" si="32"/>
        <v>Non-threatening</v>
      </c>
      <c r="E44" s="315">
        <v>0</v>
      </c>
      <c r="F44" s="315">
        <v>0</v>
      </c>
      <c r="G44" s="315">
        <v>0</v>
      </c>
      <c r="H44" s="315">
        <v>0</v>
      </c>
      <c r="I44" s="315">
        <v>0</v>
      </c>
      <c r="J44" s="315">
        <v>0</v>
      </c>
      <c r="K44" s="315">
        <v>0</v>
      </c>
      <c r="L44" s="315">
        <v>0</v>
      </c>
      <c r="M44" s="315">
        <v>15</v>
      </c>
      <c r="N44" s="315">
        <v>0</v>
      </c>
      <c r="O44" s="315">
        <f t="shared" si="33"/>
        <v>2</v>
      </c>
      <c r="P44" s="315">
        <f t="shared" si="34"/>
        <v>1</v>
      </c>
      <c r="Q44" s="315" t="str">
        <f t="shared" si="35"/>
        <v>Light Hide</v>
      </c>
      <c r="R44" s="315" t="str">
        <f t="shared" si="36"/>
        <v>Light Hide</v>
      </c>
      <c r="S44" s="315" t="str">
        <f t="shared" si="37"/>
        <v>Light Hide</v>
      </c>
      <c r="T44" s="315" t="str">
        <f t="shared" si="38"/>
        <v>Light Hide</v>
      </c>
      <c r="U44" s="315" t="str">
        <f t="shared" si="39"/>
        <v>Light Hide</v>
      </c>
      <c r="V44" s="315" t="str">
        <f t="shared" si="40"/>
        <v>Light Hide</v>
      </c>
      <c r="W44" s="313" t="s">
        <v>489</v>
      </c>
      <c r="X44" s="313" t="s">
        <v>543</v>
      </c>
      <c r="Y44" s="313"/>
      <c r="Z44" s="313"/>
      <c r="AA44" s="313"/>
      <c r="AB44" s="313"/>
      <c r="AC44" s="313"/>
      <c r="AD44" s="315">
        <f t="shared" si="14"/>
        <v>10</v>
      </c>
      <c r="AE44" s="315">
        <f t="shared" si="41"/>
        <v>10</v>
      </c>
      <c r="AF44" s="313"/>
      <c r="AG44" s="313"/>
      <c r="AH44" s="313"/>
      <c r="AI44" s="313"/>
      <c r="AJ44" s="313"/>
      <c r="AK44" s="313"/>
      <c r="AL44" s="313"/>
      <c r="AM44" s="313"/>
      <c r="AN44" s="313"/>
      <c r="AO44" s="313"/>
      <c r="AP44" s="313"/>
      <c r="AQ44" s="313"/>
      <c r="AR44" s="313"/>
      <c r="AS44" s="313"/>
      <c r="AT44" s="313"/>
      <c r="AU44" s="313"/>
      <c r="AV44" s="313"/>
      <c r="AX44" s="315">
        <f t="shared" si="42"/>
        <v>55</v>
      </c>
      <c r="AY44" s="315">
        <f t="shared" si="43"/>
        <v>0</v>
      </c>
      <c r="AZ44" s="313" t="s">
        <v>914</v>
      </c>
      <c r="BA44" s="313" t="s">
        <v>566</v>
      </c>
      <c r="BB44" s="313" t="s">
        <v>763</v>
      </c>
      <c r="BC44" s="313" t="s">
        <v>424</v>
      </c>
      <c r="BD44" s="315" t="s">
        <v>746</v>
      </c>
      <c r="BE44" s="313" t="s">
        <v>541</v>
      </c>
      <c r="BF44" s="315">
        <v>2</v>
      </c>
      <c r="BG44" s="313" t="s">
        <v>740</v>
      </c>
      <c r="BH44" s="313">
        <v>100</v>
      </c>
      <c r="BI44" s="313">
        <v>55</v>
      </c>
      <c r="BJ44" s="313" t="s">
        <v>735</v>
      </c>
      <c r="BK44" s="313">
        <v>0</v>
      </c>
      <c r="BL44" s="313">
        <v>4</v>
      </c>
      <c r="BM44" s="313">
        <v>10</v>
      </c>
      <c r="BN44" s="313">
        <v>4</v>
      </c>
      <c r="BO44" s="313">
        <v>0</v>
      </c>
      <c r="BP44" s="313"/>
    </row>
    <row r="45" spans="1:78">
      <c r="A45" s="313" t="s">
        <v>762</v>
      </c>
      <c r="B45" s="315">
        <f t="shared" si="30"/>
        <v>1</v>
      </c>
      <c r="C45" s="313" t="str">
        <f t="shared" si="31"/>
        <v>Carnivore</v>
      </c>
      <c r="D45" s="313" t="str">
        <f t="shared" si="32"/>
        <v>Non-threatening</v>
      </c>
      <c r="E45" s="315">
        <v>0</v>
      </c>
      <c r="F45" s="315">
        <v>0</v>
      </c>
      <c r="G45" s="315">
        <v>0</v>
      </c>
      <c r="H45" s="315">
        <v>0</v>
      </c>
      <c r="I45" s="315">
        <v>0</v>
      </c>
      <c r="J45" s="315">
        <v>0</v>
      </c>
      <c r="K45" s="315">
        <v>0</v>
      </c>
      <c r="L45" s="315">
        <v>0</v>
      </c>
      <c r="M45" s="315">
        <v>15</v>
      </c>
      <c r="N45" s="315">
        <v>0</v>
      </c>
      <c r="O45" s="315">
        <f t="shared" si="33"/>
        <v>1</v>
      </c>
      <c r="P45" s="315">
        <f t="shared" si="34"/>
        <v>-3</v>
      </c>
      <c r="Q45" s="315" t="str">
        <f t="shared" si="35"/>
        <v>Fur/Feathers</v>
      </c>
      <c r="R45" s="315" t="str">
        <f t="shared" si="36"/>
        <v>Fur/Feathers</v>
      </c>
      <c r="S45" s="315" t="str">
        <f t="shared" si="37"/>
        <v>Fur/Feathers</v>
      </c>
      <c r="T45" s="315" t="str">
        <f t="shared" si="38"/>
        <v>Fur/Feathers</v>
      </c>
      <c r="U45" s="315" t="str">
        <f t="shared" si="39"/>
        <v>Fur/Feathers</v>
      </c>
      <c r="V45" s="315" t="str">
        <f t="shared" si="40"/>
        <v>Fur/Feathers</v>
      </c>
      <c r="W45" s="313" t="s">
        <v>423</v>
      </c>
      <c r="X45" s="313" t="s">
        <v>543</v>
      </c>
      <c r="Y45" s="313"/>
      <c r="Z45" s="313"/>
      <c r="AA45" s="313"/>
      <c r="AB45" s="313"/>
      <c r="AC45" s="313"/>
      <c r="AD45" s="315">
        <f t="shared" si="14"/>
        <v>5</v>
      </c>
      <c r="AE45" s="315">
        <f t="shared" si="41"/>
        <v>5</v>
      </c>
      <c r="AF45" s="313"/>
      <c r="AG45" s="313"/>
      <c r="AH45" s="313"/>
      <c r="AI45" s="313"/>
      <c r="AJ45" s="313"/>
      <c r="AK45" s="313"/>
      <c r="AL45" s="313"/>
      <c r="AM45" s="313"/>
      <c r="AN45" s="313"/>
      <c r="AO45" s="313"/>
      <c r="AP45" s="313"/>
      <c r="AQ45" s="313"/>
      <c r="AR45" s="313"/>
      <c r="AS45" s="313"/>
      <c r="AT45" s="313"/>
      <c r="AU45" s="313"/>
      <c r="AV45" s="313"/>
      <c r="AX45" s="315">
        <f t="shared" si="42"/>
        <v>40</v>
      </c>
      <c r="AY45" s="315">
        <f t="shared" si="43"/>
        <v>0</v>
      </c>
      <c r="AZ45" s="313" t="s">
        <v>914</v>
      </c>
      <c r="BA45" s="313" t="s">
        <v>566</v>
      </c>
      <c r="BB45" s="313" t="s">
        <v>762</v>
      </c>
      <c r="BC45" s="313" t="s">
        <v>737</v>
      </c>
      <c r="BD45" s="315">
        <v>1</v>
      </c>
      <c r="BE45" s="313" t="s">
        <v>541</v>
      </c>
      <c r="BF45" s="315">
        <v>1</v>
      </c>
      <c r="BG45" s="313" t="s">
        <v>542</v>
      </c>
      <c r="BH45" s="313">
        <v>25</v>
      </c>
      <c r="BI45" s="313">
        <v>40</v>
      </c>
      <c r="BJ45" s="317" t="s">
        <v>2437</v>
      </c>
      <c r="BK45" s="313">
        <v>-3</v>
      </c>
      <c r="BL45" s="313">
        <v>1</v>
      </c>
      <c r="BM45" s="313">
        <v>4</v>
      </c>
      <c r="BN45" s="313">
        <v>1</v>
      </c>
      <c r="BO45" s="313">
        <v>-4</v>
      </c>
      <c r="BP45" s="313"/>
      <c r="BR45" s="313" t="s">
        <v>675</v>
      </c>
      <c r="BS45" s="313" t="s">
        <v>2295</v>
      </c>
      <c r="BT45" s="313" t="s">
        <v>1107</v>
      </c>
      <c r="BU45" s="313" t="s">
        <v>1875</v>
      </c>
      <c r="BV45" s="313" t="s">
        <v>2288</v>
      </c>
      <c r="BW45" s="313" t="s">
        <v>2296</v>
      </c>
      <c r="BX45" s="313" t="s">
        <v>2297</v>
      </c>
    </row>
    <row r="46" spans="1:78">
      <c r="A46" s="313" t="s">
        <v>2315</v>
      </c>
      <c r="B46" s="315" t="str">
        <f t="shared" si="30"/>
        <v>2D6</v>
      </c>
      <c r="C46" s="313" t="str">
        <f t="shared" si="31"/>
        <v>Carnivore</v>
      </c>
      <c r="D46" s="313" t="str">
        <f t="shared" si="32"/>
        <v>Aggressive</v>
      </c>
      <c r="E46" s="315">
        <v>0</v>
      </c>
      <c r="F46" s="315">
        <v>0</v>
      </c>
      <c r="G46" s="315">
        <v>0</v>
      </c>
      <c r="H46" s="315">
        <v>0</v>
      </c>
      <c r="I46" s="315">
        <v>0</v>
      </c>
      <c r="J46" s="315">
        <v>0</v>
      </c>
      <c r="K46" s="315">
        <v>0</v>
      </c>
      <c r="L46" s="315">
        <v>0</v>
      </c>
      <c r="M46" s="315">
        <v>15</v>
      </c>
      <c r="N46" s="315">
        <v>0</v>
      </c>
      <c r="O46" s="315">
        <f t="shared" si="33"/>
        <v>6</v>
      </c>
      <c r="P46" s="315">
        <f t="shared" si="34"/>
        <v>-3</v>
      </c>
      <c r="Q46" s="315" t="str">
        <f t="shared" si="35"/>
        <v>Fur/Feathers</v>
      </c>
      <c r="R46" s="315" t="str">
        <f t="shared" si="36"/>
        <v>Fur/Feathers</v>
      </c>
      <c r="S46" s="315" t="str">
        <f t="shared" si="37"/>
        <v>Fur/Feathers</v>
      </c>
      <c r="T46" s="315" t="str">
        <f t="shared" si="38"/>
        <v>Fur/Feathers</v>
      </c>
      <c r="U46" s="315" t="str">
        <f t="shared" si="39"/>
        <v>Fur/Feathers</v>
      </c>
      <c r="V46" s="315" t="str">
        <f t="shared" si="40"/>
        <v>Fur/Feathers</v>
      </c>
      <c r="W46" s="320" t="s">
        <v>2372</v>
      </c>
      <c r="X46" s="313" t="s">
        <v>2373</v>
      </c>
      <c r="Y46" s="313"/>
      <c r="Z46" s="313"/>
      <c r="AA46" s="313"/>
      <c r="AB46" s="313"/>
      <c r="AC46" s="313"/>
      <c r="AD46" s="315">
        <f t="shared" si="14"/>
        <v>10</v>
      </c>
      <c r="AE46" s="315">
        <f t="shared" si="41"/>
        <v>10</v>
      </c>
      <c r="AF46" s="313"/>
      <c r="AG46" s="313"/>
      <c r="AH46" s="313"/>
      <c r="AI46" s="313"/>
      <c r="AJ46" s="313"/>
      <c r="AK46" s="313"/>
      <c r="AL46" s="313"/>
      <c r="AM46" s="313"/>
      <c r="AN46" s="313"/>
      <c r="AO46" s="313"/>
      <c r="AP46" s="313"/>
      <c r="AQ46" s="313"/>
      <c r="AR46" s="313"/>
      <c r="AS46" s="313"/>
      <c r="AT46" s="313"/>
      <c r="AU46" s="313"/>
      <c r="AV46" s="313"/>
      <c r="AX46" s="315">
        <f t="shared" si="42"/>
        <v>90</v>
      </c>
      <c r="AY46" s="315">
        <f t="shared" si="43"/>
        <v>0</v>
      </c>
      <c r="AZ46" s="313" t="s">
        <v>2316</v>
      </c>
      <c r="BA46" s="313" t="s">
        <v>2320</v>
      </c>
      <c r="BB46" s="313" t="s">
        <v>2315</v>
      </c>
      <c r="BC46" s="313" t="s">
        <v>2301</v>
      </c>
      <c r="BD46" s="315" t="s">
        <v>2534</v>
      </c>
      <c r="BE46" s="313" t="s">
        <v>2303</v>
      </c>
      <c r="BF46" s="315">
        <v>6</v>
      </c>
      <c r="BG46" s="313" t="s">
        <v>2304</v>
      </c>
      <c r="BH46" s="313">
        <v>25</v>
      </c>
      <c r="BI46" s="313">
        <v>90</v>
      </c>
      <c r="BJ46" s="317" t="s">
        <v>2437</v>
      </c>
      <c r="BK46" s="313">
        <v>-4</v>
      </c>
      <c r="BL46" s="313">
        <v>14</v>
      </c>
      <c r="BM46" s="313">
        <v>24</v>
      </c>
      <c r="BN46" s="313">
        <v>3</v>
      </c>
      <c r="BO46" s="313">
        <v>0</v>
      </c>
      <c r="BP46" s="313"/>
      <c r="BR46" s="313" t="s">
        <v>1098</v>
      </c>
      <c r="BS46" s="321" t="s">
        <v>1140</v>
      </c>
      <c r="BT46" s="321" t="s">
        <v>2413</v>
      </c>
      <c r="BU46" s="321" t="s">
        <v>2414</v>
      </c>
      <c r="BV46" s="315">
        <v>17</v>
      </c>
      <c r="BW46" s="321" t="s">
        <v>959</v>
      </c>
      <c r="BX46" s="315">
        <v>20</v>
      </c>
    </row>
    <row r="47" spans="1:78">
      <c r="A47" s="313" t="s">
        <v>2317</v>
      </c>
      <c r="B47" s="315" t="str">
        <f t="shared" si="30"/>
        <v>1D4</v>
      </c>
      <c r="C47" s="313" t="str">
        <f t="shared" si="31"/>
        <v>Herbivore</v>
      </c>
      <c r="D47" s="313" t="str">
        <f t="shared" si="32"/>
        <v>Non-threatening</v>
      </c>
      <c r="E47" s="315">
        <v>0</v>
      </c>
      <c r="F47" s="315">
        <v>0</v>
      </c>
      <c r="G47" s="315">
        <v>0</v>
      </c>
      <c r="H47" s="315">
        <v>0</v>
      </c>
      <c r="I47" s="315">
        <v>0</v>
      </c>
      <c r="J47" s="315">
        <v>0</v>
      </c>
      <c r="K47" s="315">
        <v>0</v>
      </c>
      <c r="L47" s="315">
        <v>0</v>
      </c>
      <c r="M47" s="315">
        <v>15</v>
      </c>
      <c r="N47" s="315">
        <v>0</v>
      </c>
      <c r="O47" s="315">
        <f t="shared" si="33"/>
        <v>3</v>
      </c>
      <c r="P47" s="315">
        <f t="shared" si="34"/>
        <v>-8</v>
      </c>
      <c r="Q47" s="315" t="str">
        <f t="shared" si="35"/>
        <v>Fur/Feathers</v>
      </c>
      <c r="R47" s="315" t="str">
        <f t="shared" si="36"/>
        <v>Fur/Feathers</v>
      </c>
      <c r="S47" s="315" t="str">
        <f t="shared" si="37"/>
        <v>Fur/Feathers</v>
      </c>
      <c r="T47" s="315" t="str">
        <f t="shared" si="38"/>
        <v>Fur/Feathers</v>
      </c>
      <c r="U47" s="315" t="str">
        <f t="shared" si="39"/>
        <v>Fur/Feathers</v>
      </c>
      <c r="V47" s="315" t="str">
        <f t="shared" si="40"/>
        <v>Fur/Feathers</v>
      </c>
      <c r="W47" s="313" t="s">
        <v>2443</v>
      </c>
      <c r="X47" s="313" t="s">
        <v>2373</v>
      </c>
      <c r="Y47" s="313" t="s">
        <v>2444</v>
      </c>
      <c r="Z47" s="313" t="s">
        <v>2444</v>
      </c>
      <c r="AA47" s="313"/>
      <c r="AB47" s="313"/>
      <c r="AC47" s="313"/>
      <c r="AD47" s="315">
        <f t="shared" si="14"/>
        <v>5</v>
      </c>
      <c r="AE47" s="315">
        <f t="shared" si="41"/>
        <v>5</v>
      </c>
      <c r="AF47" s="313"/>
      <c r="AG47" s="313"/>
      <c r="AH47" s="313"/>
      <c r="AI47" s="313"/>
      <c r="AJ47" s="313"/>
      <c r="AK47" s="313"/>
      <c r="AL47" s="313"/>
      <c r="AM47" s="313"/>
      <c r="AN47" s="313"/>
      <c r="AO47" s="313"/>
      <c r="AP47" s="313"/>
      <c r="AQ47" s="313"/>
      <c r="AR47" s="313"/>
      <c r="AS47" s="313"/>
      <c r="AT47" s="313"/>
      <c r="AU47" s="313"/>
      <c r="AV47" s="313"/>
      <c r="AX47" s="315">
        <f t="shared" si="42"/>
        <v>80</v>
      </c>
      <c r="AY47" s="315">
        <f t="shared" si="43"/>
        <v>0</v>
      </c>
      <c r="AZ47" s="313" t="s">
        <v>2316</v>
      </c>
      <c r="BA47" s="313" t="s">
        <v>2321</v>
      </c>
      <c r="BB47" s="313" t="s">
        <v>2317</v>
      </c>
      <c r="BC47" s="313" t="s">
        <v>2305</v>
      </c>
      <c r="BD47" s="315" t="s">
        <v>2535</v>
      </c>
      <c r="BE47" s="313" t="s">
        <v>2536</v>
      </c>
      <c r="BF47" s="315">
        <v>3</v>
      </c>
      <c r="BG47" s="313" t="s">
        <v>2537</v>
      </c>
      <c r="BH47" s="313">
        <v>5</v>
      </c>
      <c r="BI47" s="313">
        <v>80</v>
      </c>
      <c r="BJ47" s="317" t="s">
        <v>2437</v>
      </c>
      <c r="BK47" s="313">
        <v>-2</v>
      </c>
      <c r="BL47" s="313">
        <v>1</v>
      </c>
      <c r="BM47" s="313">
        <v>5</v>
      </c>
      <c r="BN47" s="313">
        <v>1</v>
      </c>
      <c r="BO47" s="313">
        <v>-3</v>
      </c>
      <c r="BP47" s="313"/>
      <c r="BR47" s="313" t="s">
        <v>2003</v>
      </c>
      <c r="BS47" s="321" t="s">
        <v>960</v>
      </c>
      <c r="BT47" s="321" t="s">
        <v>2043</v>
      </c>
      <c r="BU47" s="321" t="s">
        <v>2458</v>
      </c>
      <c r="BV47" s="321" t="s">
        <v>961</v>
      </c>
      <c r="BW47" s="315">
        <v>18</v>
      </c>
      <c r="BX47" s="321" t="s">
        <v>962</v>
      </c>
    </row>
    <row r="48" spans="1:78">
      <c r="A48" s="313" t="s">
        <v>2318</v>
      </c>
      <c r="B48" s="315" t="str">
        <f t="shared" si="30"/>
        <v>1D6</v>
      </c>
      <c r="C48" s="313" t="str">
        <f t="shared" si="31"/>
        <v>Herbivore</v>
      </c>
      <c r="D48" s="313" t="str">
        <f t="shared" si="32"/>
        <v>Non-threatening</v>
      </c>
      <c r="E48" s="315">
        <v>0</v>
      </c>
      <c r="F48" s="315">
        <v>0</v>
      </c>
      <c r="G48" s="315">
        <v>0</v>
      </c>
      <c r="H48" s="315">
        <v>0</v>
      </c>
      <c r="I48" s="315">
        <v>0</v>
      </c>
      <c r="J48" s="315">
        <v>0</v>
      </c>
      <c r="K48" s="315">
        <v>0</v>
      </c>
      <c r="L48" s="315">
        <v>0</v>
      </c>
      <c r="M48" s="315">
        <v>15</v>
      </c>
      <c r="N48" s="315">
        <v>0</v>
      </c>
      <c r="O48" s="315">
        <f t="shared" si="33"/>
        <v>1</v>
      </c>
      <c r="P48" s="315">
        <f t="shared" si="34"/>
        <v>1</v>
      </c>
      <c r="Q48" s="315" t="str">
        <f t="shared" si="35"/>
        <v>Light Hide</v>
      </c>
      <c r="R48" s="315" t="str">
        <f t="shared" si="36"/>
        <v>Light Hide</v>
      </c>
      <c r="S48" s="315" t="str">
        <f t="shared" si="37"/>
        <v>Light Hide</v>
      </c>
      <c r="T48" s="315" t="str">
        <f t="shared" si="38"/>
        <v>Light Hide</v>
      </c>
      <c r="U48" s="315" t="str">
        <f t="shared" si="39"/>
        <v>Light Hide</v>
      </c>
      <c r="V48" s="315" t="str">
        <f t="shared" si="40"/>
        <v>Light Hide</v>
      </c>
      <c r="W48" s="313" t="s">
        <v>2472</v>
      </c>
      <c r="X48" s="313" t="s">
        <v>2473</v>
      </c>
      <c r="Y48" s="313"/>
      <c r="Z48" s="313"/>
      <c r="AA48" s="313"/>
      <c r="AB48" s="313"/>
      <c r="AC48" s="313"/>
      <c r="AD48" s="315">
        <f t="shared" si="14"/>
        <v>5</v>
      </c>
      <c r="AE48" s="315">
        <f t="shared" si="41"/>
        <v>5</v>
      </c>
      <c r="AF48" s="313"/>
      <c r="AG48" s="313"/>
      <c r="AH48" s="313"/>
      <c r="AI48" s="313"/>
      <c r="AJ48" s="313"/>
      <c r="AK48" s="313"/>
      <c r="AL48" s="313"/>
      <c r="AM48" s="313"/>
      <c r="AN48" s="313"/>
      <c r="AO48" s="313"/>
      <c r="AP48" s="313"/>
      <c r="AQ48" s="313"/>
      <c r="AR48" s="313"/>
      <c r="AS48" s="313"/>
      <c r="AT48" s="313"/>
      <c r="AU48" s="313"/>
      <c r="AV48" s="313"/>
      <c r="AX48" s="315">
        <f t="shared" si="42"/>
        <v>70</v>
      </c>
      <c r="AY48" s="315">
        <f t="shared" si="43"/>
        <v>0</v>
      </c>
      <c r="AZ48" s="313" t="s">
        <v>2316</v>
      </c>
      <c r="BA48" s="313" t="s">
        <v>2322</v>
      </c>
      <c r="BB48" s="313" t="s">
        <v>2318</v>
      </c>
      <c r="BC48" s="313" t="s">
        <v>2305</v>
      </c>
      <c r="BD48" s="315" t="s">
        <v>2538</v>
      </c>
      <c r="BE48" s="313" t="s">
        <v>2536</v>
      </c>
      <c r="BF48" s="315">
        <v>1</v>
      </c>
      <c r="BG48" s="313" t="s">
        <v>2537</v>
      </c>
      <c r="BH48" s="313">
        <v>150</v>
      </c>
      <c r="BI48" s="313">
        <v>70</v>
      </c>
      <c r="BJ48" s="313" t="s">
        <v>2539</v>
      </c>
      <c r="BK48" s="313">
        <v>0</v>
      </c>
      <c r="BL48" s="313">
        <v>5</v>
      </c>
      <c r="BM48" s="313">
        <v>12</v>
      </c>
      <c r="BN48" s="313">
        <v>4</v>
      </c>
      <c r="BO48" s="313">
        <v>0</v>
      </c>
      <c r="BP48" s="313"/>
      <c r="BR48" s="313" t="s">
        <v>1109</v>
      </c>
      <c r="BS48" s="321" t="s">
        <v>1204</v>
      </c>
      <c r="BT48" s="321" t="s">
        <v>1205</v>
      </c>
      <c r="BU48" s="321" t="s">
        <v>979</v>
      </c>
      <c r="BW48" s="315">
        <v>19</v>
      </c>
      <c r="BX48" s="315">
        <v>20</v>
      </c>
    </row>
    <row r="49" spans="1:76">
      <c r="A49" s="313" t="s">
        <v>2323</v>
      </c>
      <c r="B49" s="315" t="str">
        <f t="shared" si="30"/>
        <v>1D4</v>
      </c>
      <c r="C49" s="313" t="str">
        <f t="shared" si="31"/>
        <v>Omnivore</v>
      </c>
      <c r="D49" s="313" t="str">
        <f t="shared" si="32"/>
        <v>Non-threatening</v>
      </c>
      <c r="E49" s="315">
        <v>0</v>
      </c>
      <c r="F49" s="315">
        <v>0</v>
      </c>
      <c r="G49" s="315">
        <v>0</v>
      </c>
      <c r="H49" s="315">
        <v>0</v>
      </c>
      <c r="I49" s="315">
        <v>0</v>
      </c>
      <c r="J49" s="315">
        <v>0</v>
      </c>
      <c r="K49" s="315">
        <v>0</v>
      </c>
      <c r="L49" s="315">
        <v>0</v>
      </c>
      <c r="M49" s="315">
        <v>15</v>
      </c>
      <c r="N49" s="315">
        <v>0</v>
      </c>
      <c r="O49" s="315">
        <f t="shared" si="33"/>
        <v>3</v>
      </c>
      <c r="P49" s="315">
        <f t="shared" si="34"/>
        <v>-8</v>
      </c>
      <c r="Q49" s="315" t="str">
        <f t="shared" si="35"/>
        <v>Light Hide</v>
      </c>
      <c r="R49" s="315" t="str">
        <f t="shared" si="36"/>
        <v>Light Hide</v>
      </c>
      <c r="S49" s="315" t="str">
        <f t="shared" si="37"/>
        <v>Light Hide</v>
      </c>
      <c r="T49" s="315" t="str">
        <f t="shared" si="38"/>
        <v>Light Hide</v>
      </c>
      <c r="U49" s="315" t="str">
        <f t="shared" si="39"/>
        <v>Light Hide</v>
      </c>
      <c r="V49" s="315" t="str">
        <f t="shared" si="40"/>
        <v>Light Hide</v>
      </c>
      <c r="W49" s="313" t="s">
        <v>2446</v>
      </c>
      <c r="X49" s="313" t="s">
        <v>2373</v>
      </c>
      <c r="Y49" s="313" t="s">
        <v>2444</v>
      </c>
      <c r="Z49" s="313" t="s">
        <v>2444</v>
      </c>
      <c r="AA49" s="313"/>
      <c r="AB49" s="313"/>
      <c r="AC49" s="313"/>
      <c r="AD49" s="315">
        <f t="shared" si="14"/>
        <v>10</v>
      </c>
      <c r="AE49" s="315">
        <f t="shared" si="41"/>
        <v>10</v>
      </c>
      <c r="AF49" s="313"/>
      <c r="AG49" s="313"/>
      <c r="AH49" s="313"/>
      <c r="AI49" s="313"/>
      <c r="AJ49" s="313"/>
      <c r="AK49" s="313"/>
      <c r="AL49" s="313"/>
      <c r="AM49" s="313"/>
      <c r="AN49" s="313"/>
      <c r="AO49" s="313"/>
      <c r="AP49" s="313"/>
      <c r="AQ49" s="313"/>
      <c r="AR49" s="313"/>
      <c r="AS49" s="313"/>
      <c r="AT49" s="313"/>
      <c r="AU49" s="313"/>
      <c r="AV49" s="313"/>
      <c r="AX49" s="315">
        <f t="shared" si="42"/>
        <v>75</v>
      </c>
      <c r="AY49" s="315">
        <f t="shared" si="43"/>
        <v>0</v>
      </c>
      <c r="AZ49" s="313" t="s">
        <v>2319</v>
      </c>
      <c r="BA49" s="313" t="s">
        <v>2324</v>
      </c>
      <c r="BB49" s="313" t="s">
        <v>2323</v>
      </c>
      <c r="BC49" s="313" t="s">
        <v>2445</v>
      </c>
      <c r="BD49" s="315" t="s">
        <v>2535</v>
      </c>
      <c r="BE49" s="313" t="s">
        <v>2536</v>
      </c>
      <c r="BF49" s="315">
        <v>3</v>
      </c>
      <c r="BG49" s="313" t="s">
        <v>2304</v>
      </c>
      <c r="BH49" s="313">
        <v>5</v>
      </c>
      <c r="BI49" s="313">
        <v>75</v>
      </c>
      <c r="BJ49" s="313" t="s">
        <v>2539</v>
      </c>
      <c r="BK49" s="313">
        <v>0</v>
      </c>
      <c r="BL49" s="313">
        <v>2</v>
      </c>
      <c r="BM49" s="313">
        <v>5</v>
      </c>
      <c r="BN49" s="313">
        <v>1</v>
      </c>
      <c r="BO49" s="313">
        <v>0</v>
      </c>
      <c r="BP49" s="313"/>
      <c r="BR49" s="313" t="s">
        <v>1619</v>
      </c>
      <c r="BU49" s="315">
        <v>1</v>
      </c>
      <c r="BV49" s="321" t="s">
        <v>2415</v>
      </c>
      <c r="BW49" s="321" t="s">
        <v>980</v>
      </c>
      <c r="BX49" s="321" t="s">
        <v>1102</v>
      </c>
    </row>
    <row r="50" spans="1:76">
      <c r="A50" s="313" t="s">
        <v>2325</v>
      </c>
      <c r="B50" s="315">
        <f t="shared" si="30"/>
        <v>1</v>
      </c>
      <c r="C50" s="313" t="str">
        <f t="shared" si="31"/>
        <v>Carnivore</v>
      </c>
      <c r="D50" s="313" t="str">
        <f t="shared" si="32"/>
        <v>Dangerous</v>
      </c>
      <c r="E50" s="315">
        <v>0</v>
      </c>
      <c r="F50" s="315">
        <v>0</v>
      </c>
      <c r="G50" s="315">
        <v>0</v>
      </c>
      <c r="H50" s="315">
        <v>0</v>
      </c>
      <c r="I50" s="315">
        <v>0</v>
      </c>
      <c r="J50" s="315">
        <v>0</v>
      </c>
      <c r="K50" s="315">
        <v>0</v>
      </c>
      <c r="L50" s="315">
        <v>0</v>
      </c>
      <c r="M50" s="315">
        <v>15</v>
      </c>
      <c r="N50" s="315">
        <v>0</v>
      </c>
      <c r="O50" s="315">
        <f t="shared" si="33"/>
        <v>10</v>
      </c>
      <c r="P50" s="315">
        <f t="shared" si="34"/>
        <v>0</v>
      </c>
      <c r="Q50" s="315" t="str">
        <f t="shared" si="35"/>
        <v>Light Hide</v>
      </c>
      <c r="R50" s="315" t="str">
        <f t="shared" si="36"/>
        <v>Light Hide</v>
      </c>
      <c r="S50" s="315" t="str">
        <f t="shared" si="37"/>
        <v>Light Hide</v>
      </c>
      <c r="T50" s="315" t="str">
        <f t="shared" si="38"/>
        <v>Light Hide</v>
      </c>
      <c r="U50" s="315" t="str">
        <f t="shared" si="39"/>
        <v>Light Hide</v>
      </c>
      <c r="V50" s="315" t="str">
        <f t="shared" si="40"/>
        <v>Light Hide</v>
      </c>
      <c r="W50" s="313" t="s">
        <v>2477</v>
      </c>
      <c r="X50" s="313" t="s">
        <v>2373</v>
      </c>
      <c r="Y50" s="313" t="s">
        <v>2444</v>
      </c>
      <c r="Z50" s="313" t="s">
        <v>2444</v>
      </c>
      <c r="AA50" s="313"/>
      <c r="AB50" s="313"/>
      <c r="AC50" s="313"/>
      <c r="AD50" s="315">
        <f t="shared" si="14"/>
        <v>15</v>
      </c>
      <c r="AE50" s="315">
        <f t="shared" si="41"/>
        <v>15</v>
      </c>
      <c r="AF50" s="313"/>
      <c r="AG50" s="313"/>
      <c r="AH50" s="313"/>
      <c r="AI50" s="313"/>
      <c r="AJ50" s="313"/>
      <c r="AK50" s="313"/>
      <c r="AL50" s="313"/>
      <c r="AM50" s="313"/>
      <c r="AN50" s="313"/>
      <c r="AO50" s="313"/>
      <c r="AP50" s="313"/>
      <c r="AQ50" s="313"/>
      <c r="AR50" s="313"/>
      <c r="AS50" s="313"/>
      <c r="AT50" s="313"/>
      <c r="AU50" s="313"/>
      <c r="AV50" s="313"/>
      <c r="AX50" s="315">
        <f t="shared" si="42"/>
        <v>75</v>
      </c>
      <c r="AY50" s="315">
        <f t="shared" si="43"/>
        <v>0</v>
      </c>
      <c r="AZ50" s="313" t="s">
        <v>2319</v>
      </c>
      <c r="BA50" s="313" t="s">
        <v>2326</v>
      </c>
      <c r="BB50" s="313" t="s">
        <v>2325</v>
      </c>
      <c r="BC50" s="313" t="s">
        <v>2301</v>
      </c>
      <c r="BD50" s="315">
        <v>1</v>
      </c>
      <c r="BE50" s="313" t="s">
        <v>2448</v>
      </c>
      <c r="BF50" s="315">
        <v>10</v>
      </c>
      <c r="BG50" s="313" t="s">
        <v>2450</v>
      </c>
      <c r="BH50" s="313">
        <v>80</v>
      </c>
      <c r="BI50" s="313">
        <v>75</v>
      </c>
      <c r="BJ50" s="313" t="s">
        <v>2539</v>
      </c>
      <c r="BK50" s="313">
        <v>0</v>
      </c>
      <c r="BL50" s="313">
        <v>3</v>
      </c>
      <c r="BM50" s="313">
        <v>8</v>
      </c>
      <c r="BN50" s="313">
        <v>2</v>
      </c>
      <c r="BO50" s="313">
        <v>0</v>
      </c>
      <c r="BP50" s="313"/>
    </row>
    <row r="51" spans="1:76">
      <c r="A51" s="313" t="s">
        <v>2447</v>
      </c>
      <c r="B51" s="315">
        <f t="shared" ref="B51" si="46">BD51</f>
        <v>1</v>
      </c>
      <c r="C51" s="313" t="str">
        <f t="shared" ref="C51" si="47">BC51</f>
        <v>Carnivore</v>
      </c>
      <c r="D51" s="313" t="str">
        <f t="shared" ref="D51" si="48">BE51</f>
        <v>Ferocious</v>
      </c>
      <c r="E51" s="315">
        <v>0</v>
      </c>
      <c r="F51" s="315">
        <v>0</v>
      </c>
      <c r="G51" s="315">
        <v>0</v>
      </c>
      <c r="H51" s="315">
        <v>0</v>
      </c>
      <c r="I51" s="315">
        <v>0</v>
      </c>
      <c r="J51" s="315">
        <v>0</v>
      </c>
      <c r="K51" s="315">
        <v>0</v>
      </c>
      <c r="L51" s="315">
        <v>0</v>
      </c>
      <c r="M51" s="315">
        <v>15</v>
      </c>
      <c r="N51" s="315">
        <v>0</v>
      </c>
      <c r="O51" s="315">
        <f t="shared" ref="O51" si="49">BF51</f>
        <v>10</v>
      </c>
      <c r="P51" s="315">
        <f t="shared" ref="P51" si="50">LOOKUP(BH51,$BU$54:$BU$71,$BS$54:$BS$71)</f>
        <v>1</v>
      </c>
      <c r="Q51" s="315" t="str">
        <f t="shared" ref="Q51" si="51">BJ51</f>
        <v>Heavy Hide</v>
      </c>
      <c r="R51" s="315" t="str">
        <f t="shared" ref="R51" si="52">Q51</f>
        <v>Heavy Hide</v>
      </c>
      <c r="S51" s="315" t="str">
        <f t="shared" ref="S51" si="53">Q51</f>
        <v>Heavy Hide</v>
      </c>
      <c r="T51" s="315" t="str">
        <f t="shared" ref="T51" si="54">Q51</f>
        <v>Heavy Hide</v>
      </c>
      <c r="U51" s="315" t="str">
        <f t="shared" ref="U51" si="55">Q51</f>
        <v>Heavy Hide</v>
      </c>
      <c r="V51" s="315" t="str">
        <f t="shared" ref="V51" si="56">Q51</f>
        <v>Heavy Hide</v>
      </c>
      <c r="W51" s="313" t="s">
        <v>2531</v>
      </c>
      <c r="X51" s="313" t="s">
        <v>2373</v>
      </c>
      <c r="Y51" s="313" t="s">
        <v>2444</v>
      </c>
      <c r="Z51" s="313" t="s">
        <v>2444</v>
      </c>
      <c r="AA51" s="313"/>
      <c r="AB51" s="313"/>
      <c r="AC51" s="313"/>
      <c r="AD51" s="315">
        <f t="shared" si="14"/>
        <v>15</v>
      </c>
      <c r="AE51" s="315">
        <f t="shared" ref="AE51" si="57">AD51</f>
        <v>15</v>
      </c>
      <c r="AF51" s="313"/>
      <c r="AG51" s="313"/>
      <c r="AH51" s="313"/>
      <c r="AI51" s="313"/>
      <c r="AJ51" s="313"/>
      <c r="AK51" s="313"/>
      <c r="AL51" s="313"/>
      <c r="AM51" s="313"/>
      <c r="AN51" s="313"/>
      <c r="AO51" s="313"/>
      <c r="AP51" s="313"/>
      <c r="AQ51" s="313"/>
      <c r="AR51" s="313"/>
      <c r="AS51" s="313"/>
      <c r="AT51" s="313"/>
      <c r="AU51" s="313"/>
      <c r="AV51" s="313"/>
      <c r="AX51" s="315">
        <f t="shared" ref="AX51" si="58">BI51</f>
        <v>75</v>
      </c>
      <c r="AY51" s="315">
        <f t="shared" ref="AY51" si="59">BP51</f>
        <v>0</v>
      </c>
      <c r="AZ51" s="313" t="s">
        <v>2319</v>
      </c>
      <c r="BA51" s="313" t="s">
        <v>2326</v>
      </c>
      <c r="BB51" s="313" t="s">
        <v>2447</v>
      </c>
      <c r="BC51" s="313" t="s">
        <v>2301</v>
      </c>
      <c r="BD51" s="315">
        <v>1</v>
      </c>
      <c r="BE51" s="313" t="s">
        <v>2449</v>
      </c>
      <c r="BF51" s="315">
        <v>10</v>
      </c>
      <c r="BG51" s="313" t="s">
        <v>2450</v>
      </c>
      <c r="BH51" s="313">
        <v>100</v>
      </c>
      <c r="BI51" s="313">
        <v>75</v>
      </c>
      <c r="BJ51" s="313" t="s">
        <v>2476</v>
      </c>
      <c r="BK51" s="313">
        <v>0</v>
      </c>
      <c r="BL51" s="313">
        <v>4</v>
      </c>
      <c r="BM51" s="313">
        <v>10</v>
      </c>
      <c r="BN51" s="313">
        <v>3</v>
      </c>
      <c r="BO51" s="313">
        <v>0</v>
      </c>
      <c r="BP51" s="313"/>
    </row>
    <row r="52" spans="1:76">
      <c r="A52" s="313" t="s">
        <v>2328</v>
      </c>
      <c r="B52" s="315" t="str">
        <f t="shared" si="30"/>
        <v>10 X 1D6</v>
      </c>
      <c r="C52" s="313" t="str">
        <f t="shared" si="31"/>
        <v>Carnivore</v>
      </c>
      <c r="D52" s="313" t="str">
        <f t="shared" si="32"/>
        <v>Ferocious</v>
      </c>
      <c r="E52" s="315">
        <v>0</v>
      </c>
      <c r="F52" s="315">
        <v>0</v>
      </c>
      <c r="G52" s="315">
        <v>0</v>
      </c>
      <c r="H52" s="315">
        <v>0</v>
      </c>
      <c r="I52" s="315">
        <v>0</v>
      </c>
      <c r="J52" s="315">
        <v>0</v>
      </c>
      <c r="K52" s="315">
        <v>0</v>
      </c>
      <c r="L52" s="315">
        <v>0</v>
      </c>
      <c r="M52" s="315">
        <v>15</v>
      </c>
      <c r="N52" s="315">
        <v>0</v>
      </c>
      <c r="O52" s="315">
        <f t="shared" si="33"/>
        <v>10</v>
      </c>
      <c r="P52" s="315">
        <f t="shared" si="34"/>
        <v>2</v>
      </c>
      <c r="Q52" s="315" t="str">
        <f t="shared" si="35"/>
        <v>Plated Hide</v>
      </c>
      <c r="R52" s="315" t="str">
        <f t="shared" si="36"/>
        <v>Plated Hide</v>
      </c>
      <c r="S52" s="315" t="str">
        <f t="shared" si="37"/>
        <v>Plated Hide</v>
      </c>
      <c r="T52" s="315" t="str">
        <f t="shared" si="38"/>
        <v>Plated Hide</v>
      </c>
      <c r="U52" s="315" t="str">
        <f t="shared" si="39"/>
        <v>Plated Hide</v>
      </c>
      <c r="V52" s="315" t="str">
        <f t="shared" si="40"/>
        <v>Plated Hide</v>
      </c>
      <c r="W52" s="313" t="s">
        <v>2524</v>
      </c>
      <c r="X52" s="313" t="s">
        <v>2373</v>
      </c>
      <c r="Y52" s="313" t="s">
        <v>2444</v>
      </c>
      <c r="Z52" s="313" t="s">
        <v>2444</v>
      </c>
      <c r="AA52" s="313"/>
      <c r="AB52" s="313"/>
      <c r="AC52" s="313"/>
      <c r="AD52" s="315">
        <f t="shared" si="14"/>
        <v>10</v>
      </c>
      <c r="AE52" s="315">
        <f t="shared" si="41"/>
        <v>10</v>
      </c>
      <c r="AF52" s="313"/>
      <c r="AG52" s="313"/>
      <c r="AH52" s="313"/>
      <c r="AI52" s="313"/>
      <c r="AJ52" s="313"/>
      <c r="AK52" s="313"/>
      <c r="AL52" s="313"/>
      <c r="AM52" s="313"/>
      <c r="AN52" s="313"/>
      <c r="AO52" s="313"/>
      <c r="AP52" s="313"/>
      <c r="AQ52" s="313"/>
      <c r="AR52" s="313"/>
      <c r="AS52" s="313"/>
      <c r="AT52" s="313"/>
      <c r="AU52" s="313"/>
      <c r="AV52" s="313"/>
      <c r="AX52" s="315">
        <f t="shared" si="42"/>
        <v>50</v>
      </c>
      <c r="AY52" s="315">
        <f t="shared" si="43"/>
        <v>0</v>
      </c>
      <c r="AZ52" s="313" t="s">
        <v>2462</v>
      </c>
      <c r="BA52" s="313" t="s">
        <v>2327</v>
      </c>
      <c r="BB52" s="313" t="s">
        <v>2328</v>
      </c>
      <c r="BC52" s="313" t="s">
        <v>2301</v>
      </c>
      <c r="BD52" s="315" t="s">
        <v>2532</v>
      </c>
      <c r="BE52" s="313" t="s">
        <v>2449</v>
      </c>
      <c r="BF52" s="315">
        <v>10</v>
      </c>
      <c r="BG52" s="313" t="s">
        <v>2304</v>
      </c>
      <c r="BH52" s="313">
        <v>400</v>
      </c>
      <c r="BI52" s="313">
        <v>50</v>
      </c>
      <c r="BJ52" s="313" t="s">
        <v>2533</v>
      </c>
      <c r="BK52" s="313">
        <v>1</v>
      </c>
      <c r="BL52" s="313">
        <v>10</v>
      </c>
      <c r="BM52" s="313">
        <v>18</v>
      </c>
      <c r="BN52" s="313">
        <v>10</v>
      </c>
      <c r="BO52" s="313">
        <v>2</v>
      </c>
      <c r="BP52" s="313"/>
    </row>
    <row r="53" spans="1:76" ht="48">
      <c r="A53" s="313" t="s">
        <v>2463</v>
      </c>
      <c r="B53" s="315" t="str">
        <f t="shared" si="30"/>
        <v>1D10</v>
      </c>
      <c r="C53" s="313" t="str">
        <f t="shared" si="31"/>
        <v>Carnivore</v>
      </c>
      <c r="D53" s="313" t="str">
        <f t="shared" si="32"/>
        <v>Non-threatening</v>
      </c>
      <c r="E53" s="315">
        <v>0</v>
      </c>
      <c r="F53" s="315">
        <v>0</v>
      </c>
      <c r="G53" s="315">
        <v>0</v>
      </c>
      <c r="H53" s="315">
        <v>0</v>
      </c>
      <c r="I53" s="315">
        <v>0</v>
      </c>
      <c r="J53" s="315">
        <v>0</v>
      </c>
      <c r="K53" s="315">
        <v>0</v>
      </c>
      <c r="L53" s="315">
        <v>0</v>
      </c>
      <c r="M53" s="315">
        <v>15</v>
      </c>
      <c r="N53" s="315">
        <v>0</v>
      </c>
      <c r="O53" s="315">
        <f t="shared" si="33"/>
        <v>2</v>
      </c>
      <c r="P53" s="315">
        <f t="shared" si="34"/>
        <v>7</v>
      </c>
      <c r="Q53" s="315" t="str">
        <f t="shared" si="35"/>
        <v>Light Hide</v>
      </c>
      <c r="R53" s="315" t="str">
        <f t="shared" si="36"/>
        <v>Light Hide</v>
      </c>
      <c r="S53" s="315" t="str">
        <f t="shared" si="37"/>
        <v>Light Hide</v>
      </c>
      <c r="T53" s="315" t="str">
        <f t="shared" si="38"/>
        <v>Light Hide</v>
      </c>
      <c r="U53" s="315" t="str">
        <f t="shared" si="39"/>
        <v>Light Hide</v>
      </c>
      <c r="V53" s="315" t="str">
        <f t="shared" si="40"/>
        <v>Light Hide</v>
      </c>
      <c r="W53" s="313" t="s">
        <v>2525</v>
      </c>
      <c r="X53" s="313" t="s">
        <v>2431</v>
      </c>
      <c r="Y53" s="313"/>
      <c r="Z53" s="313"/>
      <c r="AA53" s="313"/>
      <c r="AB53" s="313"/>
      <c r="AC53" s="313"/>
      <c r="AD53" s="315">
        <f t="shared" si="14"/>
        <v>5</v>
      </c>
      <c r="AE53" s="315">
        <f t="shared" si="41"/>
        <v>5</v>
      </c>
      <c r="AF53" s="313"/>
      <c r="AG53" s="313"/>
      <c r="AH53" s="313"/>
      <c r="AI53" s="313"/>
      <c r="AJ53" s="313"/>
      <c r="AK53" s="313"/>
      <c r="AL53" s="313"/>
      <c r="AM53" s="313"/>
      <c r="AN53" s="313"/>
      <c r="AO53" s="313"/>
      <c r="AP53" s="313"/>
      <c r="AQ53" s="313"/>
      <c r="AR53" s="313"/>
      <c r="AS53" s="313"/>
      <c r="AT53" s="313"/>
      <c r="AU53" s="313"/>
      <c r="AV53" s="313"/>
      <c r="AX53" s="315">
        <f t="shared" si="42"/>
        <v>75</v>
      </c>
      <c r="AY53" s="315">
        <f t="shared" si="43"/>
        <v>0</v>
      </c>
      <c r="AZ53" s="313" t="s">
        <v>2464</v>
      </c>
      <c r="BA53" s="313" t="s">
        <v>2465</v>
      </c>
      <c r="BB53" s="313" t="s">
        <v>2463</v>
      </c>
      <c r="BC53" s="313" t="s">
        <v>2301</v>
      </c>
      <c r="BD53" s="315" t="s">
        <v>2432</v>
      </c>
      <c r="BE53" s="313" t="s">
        <v>2536</v>
      </c>
      <c r="BF53" s="315">
        <v>2</v>
      </c>
      <c r="BG53" s="313" t="s">
        <v>2537</v>
      </c>
      <c r="BH53" s="313">
        <v>40000</v>
      </c>
      <c r="BI53" s="313">
        <v>75</v>
      </c>
      <c r="BJ53" s="313" t="s">
        <v>2539</v>
      </c>
      <c r="BK53" s="313">
        <v>5</v>
      </c>
      <c r="BL53" s="313">
        <v>20</v>
      </c>
      <c r="BM53" s="313">
        <v>40</v>
      </c>
      <c r="BN53" s="313">
        <v>10</v>
      </c>
      <c r="BO53" s="313">
        <v>5</v>
      </c>
      <c r="BP53" s="313"/>
      <c r="BR53" s="255" t="s">
        <v>650</v>
      </c>
      <c r="BS53" s="255" t="s">
        <v>649</v>
      </c>
      <c r="BT53" s="255" t="s">
        <v>648</v>
      </c>
      <c r="BU53" s="314" t="s">
        <v>799</v>
      </c>
    </row>
    <row r="54" spans="1:76" ht="16">
      <c r="A54" s="313" t="s">
        <v>2433</v>
      </c>
      <c r="B54" s="315" t="str">
        <f t="shared" si="30"/>
        <v>1D4</v>
      </c>
      <c r="C54" s="313" t="str">
        <f t="shared" si="31"/>
        <v>Carnivore</v>
      </c>
      <c r="D54" s="313" t="str">
        <f t="shared" si="32"/>
        <v>Non-threatening</v>
      </c>
      <c r="E54" s="315">
        <v>0</v>
      </c>
      <c r="F54" s="315">
        <v>0</v>
      </c>
      <c r="G54" s="315">
        <v>0</v>
      </c>
      <c r="H54" s="315">
        <v>0</v>
      </c>
      <c r="I54" s="315">
        <v>0</v>
      </c>
      <c r="J54" s="315">
        <v>0</v>
      </c>
      <c r="K54" s="315">
        <v>0</v>
      </c>
      <c r="L54" s="315">
        <v>0</v>
      </c>
      <c r="M54" s="315">
        <v>15</v>
      </c>
      <c r="N54" s="315">
        <v>0</v>
      </c>
      <c r="O54" s="315">
        <f t="shared" si="33"/>
        <v>3</v>
      </c>
      <c r="P54" s="315">
        <f t="shared" si="34"/>
        <v>-3</v>
      </c>
      <c r="Q54" s="315" t="str">
        <f t="shared" si="35"/>
        <v>Fur/Feathers</v>
      </c>
      <c r="R54" s="315" t="str">
        <f t="shared" si="36"/>
        <v>Fur/Feathers</v>
      </c>
      <c r="S54" s="315" t="str">
        <f t="shared" si="37"/>
        <v>Fur/Feathers</v>
      </c>
      <c r="T54" s="315" t="str">
        <f t="shared" si="38"/>
        <v>Fur/Feathers</v>
      </c>
      <c r="U54" s="315" t="str">
        <f t="shared" si="39"/>
        <v>Fur/Feathers</v>
      </c>
      <c r="V54" s="315" t="str">
        <f t="shared" si="40"/>
        <v>Fur/Feathers</v>
      </c>
      <c r="W54" s="313" t="s">
        <v>2441</v>
      </c>
      <c r="X54" s="313" t="s">
        <v>2373</v>
      </c>
      <c r="Y54" s="313" t="s">
        <v>2442</v>
      </c>
      <c r="Z54" s="313" t="s">
        <v>2442</v>
      </c>
      <c r="AA54" s="313"/>
      <c r="AB54" s="313"/>
      <c r="AC54" s="313"/>
      <c r="AD54" s="315">
        <f t="shared" si="14"/>
        <v>5</v>
      </c>
      <c r="AE54" s="315">
        <f t="shared" si="41"/>
        <v>5</v>
      </c>
      <c r="AF54" s="313"/>
      <c r="AG54" s="313"/>
      <c r="AH54" s="313"/>
      <c r="AI54" s="313"/>
      <c r="AJ54" s="313"/>
      <c r="AK54" s="313"/>
      <c r="AL54" s="313"/>
      <c r="AM54" s="313"/>
      <c r="AN54" s="313"/>
      <c r="AO54" s="313"/>
      <c r="AP54" s="313"/>
      <c r="AQ54" s="313"/>
      <c r="AR54" s="313"/>
      <c r="AS54" s="313"/>
      <c r="AT54" s="313"/>
      <c r="AU54" s="313"/>
      <c r="AV54" s="313"/>
      <c r="AX54" s="315">
        <f t="shared" si="42"/>
        <v>85</v>
      </c>
      <c r="AY54" s="315">
        <f t="shared" si="43"/>
        <v>0</v>
      </c>
      <c r="AZ54" s="313" t="s">
        <v>2466</v>
      </c>
      <c r="BA54" s="313" t="s">
        <v>2220</v>
      </c>
      <c r="BB54" s="313" t="s">
        <v>2433</v>
      </c>
      <c r="BC54" s="313" t="s">
        <v>2301</v>
      </c>
      <c r="BD54" s="315" t="s">
        <v>2535</v>
      </c>
      <c r="BE54" s="313" t="s">
        <v>2435</v>
      </c>
      <c r="BF54" s="315">
        <v>3</v>
      </c>
      <c r="BG54" s="313" t="s">
        <v>2537</v>
      </c>
      <c r="BH54" s="313">
        <v>60</v>
      </c>
      <c r="BI54" s="313">
        <v>85</v>
      </c>
      <c r="BJ54" s="317" t="s">
        <v>2437</v>
      </c>
      <c r="BK54" s="313">
        <v>-1</v>
      </c>
      <c r="BL54" s="313">
        <v>2</v>
      </c>
      <c r="BM54" s="313">
        <v>6</v>
      </c>
      <c r="BN54" s="313">
        <v>1</v>
      </c>
      <c r="BO54" s="313">
        <v>-1</v>
      </c>
      <c r="BP54" s="313"/>
      <c r="BR54" s="258" t="s">
        <v>1378</v>
      </c>
      <c r="BS54" s="257">
        <v>-12</v>
      </c>
      <c r="BT54" s="257">
        <v>12</v>
      </c>
      <c r="BU54" s="315">
        <v>1.0000000000000001E-5</v>
      </c>
    </row>
    <row r="55" spans="1:76" ht="16">
      <c r="A55" s="313" t="s">
        <v>2434</v>
      </c>
      <c r="B55" s="315" t="str">
        <f t="shared" si="30"/>
        <v>2D6</v>
      </c>
      <c r="C55" s="313" t="str">
        <f t="shared" si="31"/>
        <v>Omnivore</v>
      </c>
      <c r="D55" s="313" t="str">
        <f t="shared" si="32"/>
        <v>Dangerous</v>
      </c>
      <c r="E55" s="315">
        <v>0</v>
      </c>
      <c r="F55" s="315">
        <v>0</v>
      </c>
      <c r="G55" s="315">
        <v>0</v>
      </c>
      <c r="H55" s="315">
        <v>0</v>
      </c>
      <c r="I55" s="315">
        <v>0</v>
      </c>
      <c r="J55" s="315">
        <v>0</v>
      </c>
      <c r="K55" s="315">
        <v>0</v>
      </c>
      <c r="L55" s="315">
        <v>0</v>
      </c>
      <c r="M55" s="315">
        <v>15</v>
      </c>
      <c r="N55" s="315">
        <v>0</v>
      </c>
      <c r="O55" s="315">
        <f t="shared" si="33"/>
        <v>0</v>
      </c>
      <c r="P55" s="315">
        <f t="shared" si="34"/>
        <v>-3</v>
      </c>
      <c r="Q55" s="315" t="str">
        <f t="shared" si="35"/>
        <v>Fur/Feathers</v>
      </c>
      <c r="R55" s="315" t="str">
        <f t="shared" si="36"/>
        <v>Fur/Feathers</v>
      </c>
      <c r="S55" s="315" t="str">
        <f t="shared" si="37"/>
        <v>Fur/Feathers</v>
      </c>
      <c r="T55" s="315" t="str">
        <f t="shared" si="38"/>
        <v>Fur/Feathers</v>
      </c>
      <c r="U55" s="315" t="str">
        <f t="shared" si="39"/>
        <v>Fur/Feathers</v>
      </c>
      <c r="V55" s="315" t="str">
        <f t="shared" si="40"/>
        <v>Fur/Feathers</v>
      </c>
      <c r="W55" s="313" t="s">
        <v>2522</v>
      </c>
      <c r="X55" s="313" t="s">
        <v>2523</v>
      </c>
      <c r="Y55" s="313" t="s">
        <v>2444</v>
      </c>
      <c r="Z55" s="313" t="s">
        <v>2444</v>
      </c>
      <c r="AA55" s="313"/>
      <c r="AB55" s="313"/>
      <c r="AC55" s="313"/>
      <c r="AD55" s="315">
        <f t="shared" si="14"/>
        <v>10</v>
      </c>
      <c r="AE55" s="315">
        <f t="shared" si="41"/>
        <v>10</v>
      </c>
      <c r="AF55" s="313"/>
      <c r="AG55" s="313"/>
      <c r="AH55" s="313" t="s">
        <v>2440</v>
      </c>
      <c r="AI55" s="313"/>
      <c r="AJ55" s="313"/>
      <c r="AK55" s="313"/>
      <c r="AL55" s="313"/>
      <c r="AM55" s="313"/>
      <c r="AN55" s="313"/>
      <c r="AO55" s="313"/>
      <c r="AP55" s="313"/>
      <c r="AQ55" s="313"/>
      <c r="AR55" s="313"/>
      <c r="AS55" s="313"/>
      <c r="AT55" s="313"/>
      <c r="AU55" s="313"/>
      <c r="AV55" s="313"/>
      <c r="AX55" s="315">
        <f t="shared" si="42"/>
        <v>220</v>
      </c>
      <c r="AY55" s="315">
        <f t="shared" si="43"/>
        <v>0</v>
      </c>
      <c r="AZ55" s="313" t="s">
        <v>2466</v>
      </c>
      <c r="BA55" s="313" t="s">
        <v>2220</v>
      </c>
      <c r="BB55" s="313" t="s">
        <v>2434</v>
      </c>
      <c r="BC55" s="313" t="s">
        <v>2445</v>
      </c>
      <c r="BD55" s="315" t="s">
        <v>2302</v>
      </c>
      <c r="BE55" s="313" t="s">
        <v>2448</v>
      </c>
      <c r="BG55" s="313" t="s">
        <v>2304</v>
      </c>
      <c r="BH55" s="313">
        <v>40</v>
      </c>
      <c r="BI55" s="313">
        <v>220</v>
      </c>
      <c r="BJ55" s="317" t="s">
        <v>2437</v>
      </c>
      <c r="BK55" s="313">
        <v>-3</v>
      </c>
      <c r="BL55" s="313">
        <v>1</v>
      </c>
      <c r="BM55" s="313">
        <v>5</v>
      </c>
      <c r="BN55" s="313">
        <v>1</v>
      </c>
      <c r="BO55" s="313">
        <v>0</v>
      </c>
      <c r="BP55" s="313"/>
      <c r="BR55" s="258" t="s">
        <v>1379</v>
      </c>
      <c r="BS55" s="257">
        <v>-11</v>
      </c>
      <c r="BT55" s="257">
        <v>11</v>
      </c>
      <c r="BU55" s="315">
        <v>1E-3</v>
      </c>
    </row>
    <row r="56" spans="1:76" ht="16">
      <c r="A56" s="313" t="s">
        <v>778</v>
      </c>
      <c r="B56" s="315">
        <f t="shared" si="30"/>
        <v>0</v>
      </c>
      <c r="C56" s="313" t="str">
        <f t="shared" si="31"/>
        <v>No stats</v>
      </c>
      <c r="D56" s="313">
        <f t="shared" si="32"/>
        <v>0</v>
      </c>
      <c r="E56" s="315">
        <v>0</v>
      </c>
      <c r="F56" s="315">
        <v>0</v>
      </c>
      <c r="G56" s="315">
        <v>0</v>
      </c>
      <c r="H56" s="315">
        <v>0</v>
      </c>
      <c r="I56" s="315">
        <v>0</v>
      </c>
      <c r="J56" s="315">
        <v>0</v>
      </c>
      <c r="K56" s="315">
        <v>0</v>
      </c>
      <c r="L56" s="315">
        <v>0</v>
      </c>
      <c r="M56" s="315">
        <v>15</v>
      </c>
      <c r="N56" s="315">
        <v>0</v>
      </c>
      <c r="O56" s="315">
        <f t="shared" si="33"/>
        <v>0</v>
      </c>
      <c r="P56" s="315" t="e">
        <f t="shared" si="34"/>
        <v>#N/A</v>
      </c>
      <c r="Q56" s="315">
        <f t="shared" si="35"/>
        <v>0</v>
      </c>
      <c r="R56" s="315">
        <f t="shared" si="36"/>
        <v>0</v>
      </c>
      <c r="S56" s="315">
        <f t="shared" si="37"/>
        <v>0</v>
      </c>
      <c r="T56" s="315">
        <f t="shared" si="38"/>
        <v>0</v>
      </c>
      <c r="U56" s="315">
        <f t="shared" si="39"/>
        <v>0</v>
      </c>
      <c r="V56" s="315">
        <f t="shared" si="40"/>
        <v>0</v>
      </c>
      <c r="W56" s="313" t="s">
        <v>2607</v>
      </c>
      <c r="X56" s="313"/>
      <c r="Y56" s="313"/>
      <c r="Z56" s="313"/>
      <c r="AA56" s="313"/>
      <c r="AB56" s="313"/>
      <c r="AC56" s="313"/>
      <c r="AD56" s="315" t="b">
        <f t="shared" si="14"/>
        <v>0</v>
      </c>
      <c r="AE56" s="315" t="b">
        <f t="shared" si="41"/>
        <v>0</v>
      </c>
      <c r="AF56" s="313"/>
      <c r="AG56" s="313"/>
      <c r="AH56" s="313"/>
      <c r="AI56" s="313"/>
      <c r="AJ56" s="313"/>
      <c r="AK56" s="313"/>
      <c r="AL56" s="313"/>
      <c r="AM56" s="313"/>
      <c r="AN56" s="313"/>
      <c r="AO56" s="313"/>
      <c r="AP56" s="313"/>
      <c r="AQ56" s="313"/>
      <c r="AR56" s="313"/>
      <c r="AS56" s="313"/>
      <c r="AT56" s="313"/>
      <c r="AU56" s="313"/>
      <c r="AV56" s="313"/>
      <c r="AX56" s="315">
        <f t="shared" si="42"/>
        <v>0</v>
      </c>
      <c r="AY56" s="315">
        <f t="shared" si="43"/>
        <v>0</v>
      </c>
      <c r="AZ56" s="313" t="s">
        <v>656</v>
      </c>
      <c r="BA56" s="313" t="s">
        <v>890</v>
      </c>
      <c r="BB56" s="313" t="s">
        <v>778</v>
      </c>
      <c r="BC56" s="313" t="s">
        <v>495</v>
      </c>
      <c r="BE56" s="313"/>
      <c r="BG56" s="313"/>
      <c r="BH56" s="313"/>
      <c r="BI56" s="313"/>
      <c r="BJ56" s="313"/>
      <c r="BK56" s="313"/>
      <c r="BL56" s="313"/>
      <c r="BM56" s="313"/>
      <c r="BN56" s="313"/>
      <c r="BO56" s="313"/>
      <c r="BP56" s="313"/>
      <c r="BR56" s="258" t="s">
        <v>800</v>
      </c>
      <c r="BS56" s="257">
        <v>-10</v>
      </c>
      <c r="BT56" s="257">
        <v>10</v>
      </c>
      <c r="BU56" s="315">
        <v>5.0000000000000001E-3</v>
      </c>
    </row>
    <row r="57" spans="1:76" ht="16">
      <c r="A57" s="313" t="s">
        <v>819</v>
      </c>
      <c r="B57" s="315">
        <f t="shared" ref="B57:B87" si="60">BD57</f>
        <v>0</v>
      </c>
      <c r="C57" s="313" t="str">
        <f t="shared" ref="C57:C87" si="61">BC57</f>
        <v>No stats</v>
      </c>
      <c r="D57" s="313">
        <f t="shared" ref="D57:D87" si="62">BE57</f>
        <v>0</v>
      </c>
      <c r="E57" s="315">
        <v>0</v>
      </c>
      <c r="F57" s="315">
        <v>0</v>
      </c>
      <c r="G57" s="315">
        <v>0</v>
      </c>
      <c r="H57" s="315">
        <v>0</v>
      </c>
      <c r="I57" s="315">
        <v>0</v>
      </c>
      <c r="J57" s="315">
        <v>0</v>
      </c>
      <c r="K57" s="315">
        <v>0</v>
      </c>
      <c r="L57" s="315">
        <v>0</v>
      </c>
      <c r="M57" s="315">
        <v>15</v>
      </c>
      <c r="N57" s="315">
        <v>0</v>
      </c>
      <c r="O57" s="315">
        <f t="shared" ref="O57:O87" si="63">BF57</f>
        <v>0</v>
      </c>
      <c r="P57" s="315" t="e">
        <f t="shared" ref="P57:P87" si="64">LOOKUP(BH57,$BU$54:$BU$71,$BS$54:$BS$71)</f>
        <v>#N/A</v>
      </c>
      <c r="Q57" s="315">
        <f t="shared" ref="Q57:Q87" si="65">BJ57</f>
        <v>0</v>
      </c>
      <c r="R57" s="315">
        <f t="shared" ref="R57:R87" si="66">Q57</f>
        <v>0</v>
      </c>
      <c r="S57" s="315">
        <f t="shared" ref="S57:S87" si="67">Q57</f>
        <v>0</v>
      </c>
      <c r="T57" s="315">
        <f t="shared" ref="T57:T87" si="68">Q57</f>
        <v>0</v>
      </c>
      <c r="U57" s="315">
        <f t="shared" ref="U57:U87" si="69">Q57</f>
        <v>0</v>
      </c>
      <c r="V57" s="315">
        <f t="shared" ref="V57:V87" si="70">Q57</f>
        <v>0</v>
      </c>
      <c r="W57" s="313" t="s">
        <v>2606</v>
      </c>
      <c r="X57" s="313"/>
      <c r="Y57" s="313"/>
      <c r="Z57" s="313"/>
      <c r="AA57" s="313"/>
      <c r="AB57" s="313"/>
      <c r="AC57" s="313"/>
      <c r="AD57" s="315" t="b">
        <f t="shared" si="14"/>
        <v>0</v>
      </c>
      <c r="AE57" s="315" t="b">
        <f t="shared" ref="AE57:AE87" si="71">AD57</f>
        <v>0</v>
      </c>
      <c r="AF57" s="313"/>
      <c r="AG57" s="313"/>
      <c r="AH57" s="313"/>
      <c r="AI57" s="313"/>
      <c r="AJ57" s="313"/>
      <c r="AK57" s="313"/>
      <c r="AL57" s="313"/>
      <c r="AM57" s="313"/>
      <c r="AN57" s="313"/>
      <c r="AO57" s="313"/>
      <c r="AP57" s="313"/>
      <c r="AQ57" s="313"/>
      <c r="AR57" s="313"/>
      <c r="AS57" s="313"/>
      <c r="AT57" s="313"/>
      <c r="AU57" s="313"/>
      <c r="AV57" s="313"/>
      <c r="AX57" s="315">
        <f t="shared" ref="AX57:AX87" si="72">BI57</f>
        <v>0</v>
      </c>
      <c r="AY57" s="315">
        <f t="shared" ref="AY57:AY87" si="73">BP57</f>
        <v>0</v>
      </c>
      <c r="AZ57" s="313" t="s">
        <v>818</v>
      </c>
      <c r="BA57" s="313" t="s">
        <v>1120</v>
      </c>
      <c r="BB57" s="313" t="s">
        <v>819</v>
      </c>
      <c r="BC57" s="313" t="s">
        <v>495</v>
      </c>
      <c r="BE57" s="313"/>
      <c r="BG57" s="313"/>
      <c r="BH57" s="313"/>
      <c r="BI57" s="313"/>
      <c r="BJ57" s="313"/>
      <c r="BK57" s="313"/>
      <c r="BL57" s="313"/>
      <c r="BM57" s="313"/>
      <c r="BN57" s="313"/>
      <c r="BO57" s="313"/>
      <c r="BP57" s="313"/>
      <c r="BR57" s="258" t="s">
        <v>1380</v>
      </c>
      <c r="BS57" s="257">
        <v>-9</v>
      </c>
      <c r="BT57" s="257">
        <v>9</v>
      </c>
      <c r="BU57" s="315">
        <v>1</v>
      </c>
    </row>
    <row r="58" spans="1:76" ht="16">
      <c r="A58" s="313" t="s">
        <v>597</v>
      </c>
      <c r="B58" s="315">
        <f t="shared" si="60"/>
        <v>0</v>
      </c>
      <c r="C58" s="313" t="str">
        <f t="shared" si="61"/>
        <v>No stats</v>
      </c>
      <c r="D58" s="313">
        <f t="shared" si="62"/>
        <v>0</v>
      </c>
      <c r="E58" s="315">
        <v>0</v>
      </c>
      <c r="F58" s="315">
        <v>0</v>
      </c>
      <c r="G58" s="315">
        <v>0</v>
      </c>
      <c r="H58" s="315">
        <v>0</v>
      </c>
      <c r="I58" s="315">
        <v>0</v>
      </c>
      <c r="J58" s="315">
        <v>0</v>
      </c>
      <c r="K58" s="315">
        <v>0</v>
      </c>
      <c r="L58" s="315">
        <v>0</v>
      </c>
      <c r="M58" s="315">
        <v>15</v>
      </c>
      <c r="N58" s="315">
        <v>0</v>
      </c>
      <c r="O58" s="315">
        <f t="shared" si="63"/>
        <v>0</v>
      </c>
      <c r="P58" s="315" t="e">
        <f t="shared" si="64"/>
        <v>#N/A</v>
      </c>
      <c r="Q58" s="315">
        <f t="shared" si="65"/>
        <v>0</v>
      </c>
      <c r="R58" s="315">
        <f t="shared" si="66"/>
        <v>0</v>
      </c>
      <c r="S58" s="315">
        <f t="shared" si="67"/>
        <v>0</v>
      </c>
      <c r="T58" s="315">
        <f t="shared" si="68"/>
        <v>0</v>
      </c>
      <c r="U58" s="315">
        <f t="shared" si="69"/>
        <v>0</v>
      </c>
      <c r="V58" s="315">
        <f t="shared" si="70"/>
        <v>0</v>
      </c>
      <c r="W58" s="313" t="s">
        <v>2602</v>
      </c>
      <c r="X58" s="313"/>
      <c r="Y58" s="313"/>
      <c r="Z58" s="313"/>
      <c r="AA58" s="313"/>
      <c r="AB58" s="313"/>
      <c r="AC58" s="313"/>
      <c r="AD58" s="315" t="b">
        <f t="shared" si="14"/>
        <v>0</v>
      </c>
      <c r="AE58" s="315" t="b">
        <f t="shared" si="71"/>
        <v>0</v>
      </c>
      <c r="AF58" s="313"/>
      <c r="AG58" s="313"/>
      <c r="AH58" s="313"/>
      <c r="AI58" s="313"/>
      <c r="AJ58" s="313"/>
      <c r="AK58" s="313"/>
      <c r="AL58" s="313"/>
      <c r="AM58" s="313"/>
      <c r="AN58" s="313"/>
      <c r="AO58" s="313"/>
      <c r="AP58" s="313"/>
      <c r="AQ58" s="313"/>
      <c r="AR58" s="313"/>
      <c r="AS58" s="313"/>
      <c r="AT58" s="313"/>
      <c r="AU58" s="313"/>
      <c r="AV58" s="313"/>
      <c r="AX58" s="315">
        <f t="shared" si="72"/>
        <v>0</v>
      </c>
      <c r="AY58" s="315">
        <f t="shared" si="73"/>
        <v>0</v>
      </c>
      <c r="AZ58" s="313" t="s">
        <v>818</v>
      </c>
      <c r="BA58" s="313" t="s">
        <v>1120</v>
      </c>
      <c r="BB58" s="313" t="s">
        <v>597</v>
      </c>
      <c r="BC58" s="313" t="s">
        <v>495</v>
      </c>
      <c r="BE58" s="313"/>
      <c r="BG58" s="313"/>
      <c r="BH58" s="313"/>
      <c r="BI58" s="313"/>
      <c r="BJ58" s="313"/>
      <c r="BK58" s="313"/>
      <c r="BL58" s="313"/>
      <c r="BM58" s="313"/>
      <c r="BN58" s="313"/>
      <c r="BO58" s="313"/>
      <c r="BP58" s="313"/>
      <c r="BR58" s="258" t="s">
        <v>1535</v>
      </c>
      <c r="BS58" s="257">
        <v>-8</v>
      </c>
      <c r="BT58" s="257">
        <v>8</v>
      </c>
      <c r="BU58" s="315">
        <v>5</v>
      </c>
    </row>
    <row r="59" spans="1:76" ht="16">
      <c r="A59" s="313" t="s">
        <v>599</v>
      </c>
      <c r="B59" s="315">
        <f t="shared" si="60"/>
        <v>0</v>
      </c>
      <c r="C59" s="313" t="str">
        <f t="shared" si="61"/>
        <v>No stats</v>
      </c>
      <c r="D59" s="313">
        <f t="shared" si="62"/>
        <v>0</v>
      </c>
      <c r="E59" s="315">
        <v>0</v>
      </c>
      <c r="F59" s="315">
        <v>0</v>
      </c>
      <c r="G59" s="315">
        <v>0</v>
      </c>
      <c r="H59" s="315">
        <v>0</v>
      </c>
      <c r="I59" s="315">
        <v>0</v>
      </c>
      <c r="J59" s="315">
        <v>0</v>
      </c>
      <c r="K59" s="315">
        <v>0</v>
      </c>
      <c r="L59" s="315">
        <v>0</v>
      </c>
      <c r="M59" s="315">
        <v>15</v>
      </c>
      <c r="N59" s="315">
        <v>0</v>
      </c>
      <c r="O59" s="315">
        <f t="shared" si="63"/>
        <v>0</v>
      </c>
      <c r="P59" s="315" t="e">
        <f t="shared" si="64"/>
        <v>#N/A</v>
      </c>
      <c r="Q59" s="315">
        <f t="shared" si="65"/>
        <v>0</v>
      </c>
      <c r="R59" s="315">
        <f t="shared" si="66"/>
        <v>0</v>
      </c>
      <c r="S59" s="315">
        <f t="shared" si="67"/>
        <v>0</v>
      </c>
      <c r="T59" s="315">
        <f t="shared" si="68"/>
        <v>0</v>
      </c>
      <c r="U59" s="315">
        <f t="shared" si="69"/>
        <v>0</v>
      </c>
      <c r="V59" s="315">
        <f t="shared" si="70"/>
        <v>0</v>
      </c>
      <c r="W59" s="313" t="s">
        <v>2604</v>
      </c>
      <c r="X59" s="313"/>
      <c r="Y59" s="313"/>
      <c r="Z59" s="313"/>
      <c r="AA59" s="313"/>
      <c r="AB59" s="313"/>
      <c r="AC59" s="313"/>
      <c r="AD59" s="315" t="b">
        <f t="shared" si="14"/>
        <v>0</v>
      </c>
      <c r="AE59" s="315" t="b">
        <f t="shared" si="71"/>
        <v>0</v>
      </c>
      <c r="AF59" s="313"/>
      <c r="AG59" s="313"/>
      <c r="AH59" s="313"/>
      <c r="AI59" s="313"/>
      <c r="AJ59" s="313"/>
      <c r="AK59" s="313"/>
      <c r="AL59" s="313"/>
      <c r="AM59" s="313"/>
      <c r="AN59" s="313"/>
      <c r="AO59" s="313"/>
      <c r="AP59" s="313"/>
      <c r="AQ59" s="313"/>
      <c r="AR59" s="313"/>
      <c r="AS59" s="313"/>
      <c r="AT59" s="313"/>
      <c r="AU59" s="313"/>
      <c r="AV59" s="313"/>
      <c r="AX59" s="315">
        <f t="shared" si="72"/>
        <v>0</v>
      </c>
      <c r="AY59" s="315">
        <f t="shared" si="73"/>
        <v>0</v>
      </c>
      <c r="AZ59" s="313" t="s">
        <v>818</v>
      </c>
      <c r="BA59" s="313" t="s">
        <v>1120</v>
      </c>
      <c r="BB59" s="313" t="s">
        <v>599</v>
      </c>
      <c r="BC59" s="313" t="s">
        <v>495</v>
      </c>
      <c r="BE59" s="313"/>
      <c r="BG59" s="313"/>
      <c r="BH59" s="313"/>
      <c r="BI59" s="313"/>
      <c r="BJ59" s="313"/>
      <c r="BK59" s="313"/>
      <c r="BL59" s="313"/>
      <c r="BM59" s="313"/>
      <c r="BN59" s="313"/>
      <c r="BO59" s="313"/>
      <c r="BP59" s="313"/>
      <c r="BR59" s="258" t="s">
        <v>1780</v>
      </c>
      <c r="BS59" s="257">
        <v>-5</v>
      </c>
      <c r="BT59" s="257">
        <v>5</v>
      </c>
      <c r="BU59" s="315">
        <v>10</v>
      </c>
    </row>
    <row r="60" spans="1:76" ht="48">
      <c r="A60" s="313" t="s">
        <v>598</v>
      </c>
      <c r="B60" s="315">
        <f t="shared" si="60"/>
        <v>0</v>
      </c>
      <c r="C60" s="313" t="str">
        <f t="shared" si="61"/>
        <v>No stats</v>
      </c>
      <c r="D60" s="313">
        <f t="shared" si="62"/>
        <v>0</v>
      </c>
      <c r="E60" s="315">
        <v>0</v>
      </c>
      <c r="F60" s="315">
        <v>0</v>
      </c>
      <c r="G60" s="315">
        <v>0</v>
      </c>
      <c r="H60" s="315">
        <v>0</v>
      </c>
      <c r="I60" s="315">
        <v>0</v>
      </c>
      <c r="J60" s="315">
        <v>0</v>
      </c>
      <c r="K60" s="315">
        <v>0</v>
      </c>
      <c r="L60" s="315">
        <v>0</v>
      </c>
      <c r="M60" s="315">
        <v>15</v>
      </c>
      <c r="N60" s="315">
        <v>0</v>
      </c>
      <c r="O60" s="315">
        <f t="shared" si="63"/>
        <v>0</v>
      </c>
      <c r="P60" s="315" t="e">
        <f t="shared" si="64"/>
        <v>#N/A</v>
      </c>
      <c r="Q60" s="315">
        <f t="shared" si="65"/>
        <v>0</v>
      </c>
      <c r="R60" s="315">
        <f t="shared" si="66"/>
        <v>0</v>
      </c>
      <c r="S60" s="315">
        <f t="shared" si="67"/>
        <v>0</v>
      </c>
      <c r="T60" s="315">
        <f t="shared" si="68"/>
        <v>0</v>
      </c>
      <c r="U60" s="315">
        <f t="shared" si="69"/>
        <v>0</v>
      </c>
      <c r="V60" s="315">
        <f t="shared" si="70"/>
        <v>0</v>
      </c>
      <c r="W60" s="313" t="s">
        <v>2603</v>
      </c>
      <c r="X60" s="313"/>
      <c r="Y60" s="313"/>
      <c r="Z60" s="313"/>
      <c r="AA60" s="313"/>
      <c r="AB60" s="313"/>
      <c r="AC60" s="313"/>
      <c r="AD60" s="315" t="b">
        <f t="shared" si="14"/>
        <v>0</v>
      </c>
      <c r="AE60" s="315" t="b">
        <f t="shared" si="71"/>
        <v>0</v>
      </c>
      <c r="AF60" s="313"/>
      <c r="AG60" s="313"/>
      <c r="AH60" s="313"/>
      <c r="AI60" s="313"/>
      <c r="AJ60" s="313"/>
      <c r="AK60" s="313"/>
      <c r="AL60" s="313"/>
      <c r="AM60" s="313"/>
      <c r="AN60" s="313"/>
      <c r="AO60" s="313"/>
      <c r="AP60" s="313"/>
      <c r="AQ60" s="313"/>
      <c r="AR60" s="313"/>
      <c r="AS60" s="313"/>
      <c r="AT60" s="313"/>
      <c r="AU60" s="313"/>
      <c r="AV60" s="313"/>
      <c r="AX60" s="315">
        <f t="shared" si="72"/>
        <v>0</v>
      </c>
      <c r="AY60" s="315">
        <f t="shared" si="73"/>
        <v>0</v>
      </c>
      <c r="AZ60" s="313" t="s">
        <v>818</v>
      </c>
      <c r="BA60" s="313" t="s">
        <v>1120</v>
      </c>
      <c r="BB60" s="313" t="s">
        <v>598</v>
      </c>
      <c r="BC60" s="313" t="s">
        <v>495</v>
      </c>
      <c r="BE60" s="313"/>
      <c r="BG60" s="313"/>
      <c r="BH60" s="313"/>
      <c r="BI60" s="313"/>
      <c r="BJ60" s="313"/>
      <c r="BK60" s="313"/>
      <c r="BL60" s="313"/>
      <c r="BM60" s="313"/>
      <c r="BN60" s="313"/>
      <c r="BO60" s="313"/>
      <c r="BP60" s="313"/>
      <c r="BR60" s="258" t="s">
        <v>1533</v>
      </c>
      <c r="BS60" s="257">
        <v>-3</v>
      </c>
      <c r="BT60" s="257">
        <v>3</v>
      </c>
      <c r="BU60" s="315">
        <v>20</v>
      </c>
    </row>
    <row r="61" spans="1:76" ht="16">
      <c r="A61" s="313" t="s">
        <v>600</v>
      </c>
      <c r="B61" s="315">
        <f t="shared" si="60"/>
        <v>0</v>
      </c>
      <c r="C61" s="313" t="str">
        <f t="shared" si="61"/>
        <v>No stats</v>
      </c>
      <c r="D61" s="313">
        <f t="shared" si="62"/>
        <v>0</v>
      </c>
      <c r="E61" s="315">
        <v>0</v>
      </c>
      <c r="F61" s="315">
        <v>0</v>
      </c>
      <c r="G61" s="315">
        <v>0</v>
      </c>
      <c r="H61" s="315">
        <v>0</v>
      </c>
      <c r="I61" s="315">
        <v>0</v>
      </c>
      <c r="J61" s="315">
        <v>0</v>
      </c>
      <c r="K61" s="315">
        <v>0</v>
      </c>
      <c r="L61" s="315">
        <v>0</v>
      </c>
      <c r="M61" s="315">
        <v>15</v>
      </c>
      <c r="N61" s="315">
        <v>0</v>
      </c>
      <c r="O61" s="315">
        <f t="shared" si="63"/>
        <v>0</v>
      </c>
      <c r="P61" s="315" t="e">
        <f t="shared" si="64"/>
        <v>#N/A</v>
      </c>
      <c r="Q61" s="315">
        <f t="shared" si="65"/>
        <v>0</v>
      </c>
      <c r="R61" s="315">
        <f t="shared" si="66"/>
        <v>0</v>
      </c>
      <c r="S61" s="315">
        <f t="shared" si="67"/>
        <v>0</v>
      </c>
      <c r="T61" s="315">
        <f t="shared" si="68"/>
        <v>0</v>
      </c>
      <c r="U61" s="315">
        <f t="shared" si="69"/>
        <v>0</v>
      </c>
      <c r="V61" s="315">
        <f t="shared" si="70"/>
        <v>0</v>
      </c>
      <c r="W61" s="313" t="s">
        <v>2608</v>
      </c>
      <c r="X61" s="313"/>
      <c r="Y61" s="313"/>
      <c r="Z61" s="313"/>
      <c r="AA61" s="313"/>
      <c r="AB61" s="313"/>
      <c r="AC61" s="313"/>
      <c r="AD61" s="315" t="b">
        <f t="shared" si="14"/>
        <v>0</v>
      </c>
      <c r="AE61" s="315" t="b">
        <f t="shared" si="71"/>
        <v>0</v>
      </c>
      <c r="AF61" s="313"/>
      <c r="AG61" s="313"/>
      <c r="AH61" s="313"/>
      <c r="AI61" s="313"/>
      <c r="AJ61" s="313"/>
      <c r="AK61" s="313"/>
      <c r="AL61" s="313"/>
      <c r="AM61" s="313"/>
      <c r="AN61" s="313"/>
      <c r="AO61" s="313"/>
      <c r="AP61" s="313"/>
      <c r="AQ61" s="313"/>
      <c r="AR61" s="313"/>
      <c r="AS61" s="313"/>
      <c r="AT61" s="313"/>
      <c r="AU61" s="313"/>
      <c r="AV61" s="313"/>
      <c r="AX61" s="315">
        <f t="shared" si="72"/>
        <v>0</v>
      </c>
      <c r="AY61" s="315">
        <f t="shared" si="73"/>
        <v>0</v>
      </c>
      <c r="AZ61" s="313" t="s">
        <v>601</v>
      </c>
      <c r="BA61" s="313" t="s">
        <v>887</v>
      </c>
      <c r="BB61" s="313" t="s">
        <v>600</v>
      </c>
      <c r="BC61" s="313" t="s">
        <v>495</v>
      </c>
      <c r="BE61" s="313"/>
      <c r="BG61" s="313"/>
      <c r="BH61" s="313"/>
      <c r="BI61" s="313"/>
      <c r="BJ61" s="313"/>
      <c r="BK61" s="313"/>
      <c r="BL61" s="313"/>
      <c r="BM61" s="313"/>
      <c r="BN61" s="313"/>
      <c r="BO61" s="313"/>
      <c r="BP61" s="313"/>
      <c r="BR61" s="258" t="s">
        <v>2129</v>
      </c>
      <c r="BS61" s="257">
        <v>-1</v>
      </c>
      <c r="BT61" s="257">
        <v>1</v>
      </c>
      <c r="BU61" s="315">
        <v>80</v>
      </c>
    </row>
    <row r="62" spans="1:76" ht="16">
      <c r="A62" s="313" t="s">
        <v>1145</v>
      </c>
      <c r="B62" s="315">
        <f t="shared" si="60"/>
        <v>0</v>
      </c>
      <c r="C62" s="313" t="str">
        <f t="shared" si="61"/>
        <v>No stats</v>
      </c>
      <c r="D62" s="313">
        <f t="shared" si="62"/>
        <v>0</v>
      </c>
      <c r="E62" s="315">
        <v>0</v>
      </c>
      <c r="F62" s="315">
        <v>0</v>
      </c>
      <c r="G62" s="315">
        <v>0</v>
      </c>
      <c r="H62" s="315">
        <v>0</v>
      </c>
      <c r="I62" s="315">
        <v>0</v>
      </c>
      <c r="J62" s="315">
        <v>0</v>
      </c>
      <c r="K62" s="315">
        <v>0</v>
      </c>
      <c r="L62" s="315">
        <v>0</v>
      </c>
      <c r="M62" s="315">
        <v>15</v>
      </c>
      <c r="N62" s="315">
        <v>0</v>
      </c>
      <c r="O62" s="315">
        <f t="shared" si="63"/>
        <v>0</v>
      </c>
      <c r="P62" s="315" t="e">
        <f t="shared" si="64"/>
        <v>#N/A</v>
      </c>
      <c r="Q62" s="315">
        <f t="shared" si="65"/>
        <v>0</v>
      </c>
      <c r="R62" s="315">
        <f t="shared" si="66"/>
        <v>0</v>
      </c>
      <c r="S62" s="315">
        <f t="shared" si="67"/>
        <v>0</v>
      </c>
      <c r="T62" s="315">
        <f t="shared" si="68"/>
        <v>0</v>
      </c>
      <c r="U62" s="315">
        <f t="shared" si="69"/>
        <v>0</v>
      </c>
      <c r="V62" s="315">
        <f t="shared" si="70"/>
        <v>0</v>
      </c>
      <c r="W62" s="313" t="s">
        <v>2612</v>
      </c>
      <c r="X62" s="313"/>
      <c r="Y62" s="313"/>
      <c r="Z62" s="313"/>
      <c r="AA62" s="313"/>
      <c r="AB62" s="313"/>
      <c r="AC62" s="313"/>
      <c r="AD62" s="315" t="b">
        <f t="shared" si="14"/>
        <v>0</v>
      </c>
      <c r="AE62" s="315" t="b">
        <f t="shared" si="71"/>
        <v>0</v>
      </c>
      <c r="AF62" s="313"/>
      <c r="AG62" s="313"/>
      <c r="AH62" s="313"/>
      <c r="AI62" s="313"/>
      <c r="AJ62" s="313"/>
      <c r="AK62" s="313"/>
      <c r="AL62" s="313"/>
      <c r="AM62" s="313"/>
      <c r="AN62" s="313"/>
      <c r="AO62" s="313"/>
      <c r="AP62" s="313"/>
      <c r="AQ62" s="313"/>
      <c r="AR62" s="313"/>
      <c r="AS62" s="313"/>
      <c r="AT62" s="313"/>
      <c r="AU62" s="313"/>
      <c r="AV62" s="313"/>
      <c r="AX62" s="315">
        <f t="shared" si="72"/>
        <v>0</v>
      </c>
      <c r="AY62" s="315">
        <f t="shared" si="73"/>
        <v>0</v>
      </c>
      <c r="AZ62" s="313" t="s">
        <v>529</v>
      </c>
      <c r="BA62" s="313" t="s">
        <v>1068</v>
      </c>
      <c r="BB62" s="313" t="s">
        <v>1145</v>
      </c>
      <c r="BC62" s="313" t="s">
        <v>495</v>
      </c>
      <c r="BE62" s="313"/>
      <c r="BG62" s="313"/>
      <c r="BH62" s="313"/>
      <c r="BI62" s="313"/>
      <c r="BJ62" s="313"/>
      <c r="BK62" s="313"/>
      <c r="BL62" s="313"/>
      <c r="BM62" s="313"/>
      <c r="BN62" s="313"/>
      <c r="BO62" s="313"/>
      <c r="BP62" s="313"/>
      <c r="BR62" s="258" t="s">
        <v>1282</v>
      </c>
      <c r="BS62" s="257">
        <v>0</v>
      </c>
      <c r="BT62" s="257">
        <v>0</v>
      </c>
      <c r="BU62" s="315">
        <v>80</v>
      </c>
    </row>
    <row r="63" spans="1:76" ht="16">
      <c r="A63" s="313" t="s">
        <v>1044</v>
      </c>
      <c r="B63" s="315">
        <f t="shared" si="60"/>
        <v>0</v>
      </c>
      <c r="C63" s="313" t="str">
        <f t="shared" si="61"/>
        <v>No stats</v>
      </c>
      <c r="D63" s="313">
        <f t="shared" si="62"/>
        <v>0</v>
      </c>
      <c r="E63" s="315">
        <v>0</v>
      </c>
      <c r="F63" s="315">
        <v>0</v>
      </c>
      <c r="G63" s="315">
        <v>0</v>
      </c>
      <c r="H63" s="315">
        <v>0</v>
      </c>
      <c r="I63" s="315">
        <v>0</v>
      </c>
      <c r="J63" s="315">
        <v>0</v>
      </c>
      <c r="K63" s="315">
        <v>0</v>
      </c>
      <c r="L63" s="315">
        <v>0</v>
      </c>
      <c r="M63" s="315">
        <v>15</v>
      </c>
      <c r="N63" s="315">
        <v>0</v>
      </c>
      <c r="O63" s="315">
        <f t="shared" si="63"/>
        <v>0</v>
      </c>
      <c r="P63" s="315" t="e">
        <f t="shared" si="64"/>
        <v>#N/A</v>
      </c>
      <c r="Q63" s="315">
        <f t="shared" si="65"/>
        <v>0</v>
      </c>
      <c r="R63" s="315">
        <f t="shared" si="66"/>
        <v>0</v>
      </c>
      <c r="S63" s="315">
        <f t="shared" si="67"/>
        <v>0</v>
      </c>
      <c r="T63" s="315">
        <f t="shared" si="68"/>
        <v>0</v>
      </c>
      <c r="U63" s="315">
        <f t="shared" si="69"/>
        <v>0</v>
      </c>
      <c r="V63" s="315">
        <f t="shared" si="70"/>
        <v>0</v>
      </c>
      <c r="W63" s="313" t="s">
        <v>2605</v>
      </c>
      <c r="X63" s="313"/>
      <c r="Y63" s="313"/>
      <c r="Z63" s="313"/>
      <c r="AA63" s="313"/>
      <c r="AB63" s="313"/>
      <c r="AC63" s="313"/>
      <c r="AD63" s="315" t="b">
        <f t="shared" si="14"/>
        <v>0</v>
      </c>
      <c r="AE63" s="315" t="b">
        <f t="shared" si="71"/>
        <v>0</v>
      </c>
      <c r="AF63" s="313"/>
      <c r="AG63" s="313"/>
      <c r="AH63" s="313"/>
      <c r="AI63" s="313"/>
      <c r="AJ63" s="313"/>
      <c r="AK63" s="313"/>
      <c r="AL63" s="313"/>
      <c r="AM63" s="313"/>
      <c r="AN63" s="313"/>
      <c r="AO63" s="313"/>
      <c r="AP63" s="313"/>
      <c r="AQ63" s="313"/>
      <c r="AR63" s="313"/>
      <c r="AS63" s="313"/>
      <c r="AT63" s="313"/>
      <c r="AU63" s="313"/>
      <c r="AV63" s="313"/>
      <c r="AX63" s="315">
        <f t="shared" si="72"/>
        <v>0</v>
      </c>
      <c r="AY63" s="315">
        <f t="shared" si="73"/>
        <v>0</v>
      </c>
      <c r="AZ63" s="313" t="s">
        <v>529</v>
      </c>
      <c r="BA63" s="313" t="s">
        <v>1068</v>
      </c>
      <c r="BB63" s="313" t="s">
        <v>1044</v>
      </c>
      <c r="BC63" s="313" t="s">
        <v>495</v>
      </c>
      <c r="BE63" s="313"/>
      <c r="BG63" s="313"/>
      <c r="BH63" s="313"/>
      <c r="BI63" s="313"/>
      <c r="BJ63" s="313"/>
      <c r="BK63" s="313"/>
      <c r="BL63" s="313"/>
      <c r="BM63" s="313"/>
      <c r="BN63" s="313"/>
      <c r="BO63" s="313"/>
      <c r="BP63" s="313"/>
      <c r="BR63" s="258" t="s">
        <v>1429</v>
      </c>
      <c r="BS63" s="257">
        <v>1</v>
      </c>
      <c r="BT63" s="257">
        <v>-1</v>
      </c>
      <c r="BU63" s="315">
        <v>100</v>
      </c>
    </row>
    <row r="64" spans="1:76" ht="16">
      <c r="A64" s="313" t="s">
        <v>1045</v>
      </c>
      <c r="B64" s="315">
        <f t="shared" si="60"/>
        <v>0</v>
      </c>
      <c r="C64" s="313" t="str">
        <f t="shared" si="61"/>
        <v>No stats</v>
      </c>
      <c r="D64" s="313">
        <f t="shared" si="62"/>
        <v>0</v>
      </c>
      <c r="E64" s="315">
        <v>0</v>
      </c>
      <c r="F64" s="315">
        <v>0</v>
      </c>
      <c r="G64" s="315">
        <v>0</v>
      </c>
      <c r="H64" s="315">
        <v>0</v>
      </c>
      <c r="I64" s="315">
        <v>0</v>
      </c>
      <c r="J64" s="315">
        <v>0</v>
      </c>
      <c r="K64" s="315">
        <v>0</v>
      </c>
      <c r="L64" s="315">
        <v>0</v>
      </c>
      <c r="M64" s="315">
        <v>15</v>
      </c>
      <c r="N64" s="315">
        <v>0</v>
      </c>
      <c r="O64" s="315">
        <f t="shared" si="63"/>
        <v>0</v>
      </c>
      <c r="P64" s="315" t="e">
        <f t="shared" si="64"/>
        <v>#N/A</v>
      </c>
      <c r="Q64" s="315">
        <f t="shared" si="65"/>
        <v>0</v>
      </c>
      <c r="R64" s="315">
        <f t="shared" si="66"/>
        <v>0</v>
      </c>
      <c r="S64" s="315">
        <f t="shared" si="67"/>
        <v>0</v>
      </c>
      <c r="T64" s="315">
        <f t="shared" si="68"/>
        <v>0</v>
      </c>
      <c r="U64" s="315">
        <f t="shared" si="69"/>
        <v>0</v>
      </c>
      <c r="V64" s="315">
        <f t="shared" si="70"/>
        <v>0</v>
      </c>
      <c r="W64" s="313" t="s">
        <v>2611</v>
      </c>
      <c r="X64" s="313"/>
      <c r="Y64" s="313"/>
      <c r="Z64" s="313"/>
      <c r="AA64" s="313"/>
      <c r="AB64" s="313"/>
      <c r="AC64" s="313"/>
      <c r="AD64" s="315" t="b">
        <f t="shared" si="14"/>
        <v>0</v>
      </c>
      <c r="AE64" s="315" t="b">
        <f t="shared" si="71"/>
        <v>0</v>
      </c>
      <c r="AF64" s="313"/>
      <c r="AG64" s="313"/>
      <c r="AH64" s="313"/>
      <c r="AI64" s="313"/>
      <c r="AJ64" s="313"/>
      <c r="AK64" s="313"/>
      <c r="AL64" s="313"/>
      <c r="AM64" s="313"/>
      <c r="AN64" s="313"/>
      <c r="AO64" s="313"/>
      <c r="AP64" s="313"/>
      <c r="AQ64" s="313"/>
      <c r="AR64" s="313"/>
      <c r="AS64" s="313"/>
      <c r="AT64" s="313"/>
      <c r="AU64" s="313"/>
      <c r="AV64" s="313"/>
      <c r="AX64" s="315">
        <f t="shared" si="72"/>
        <v>0</v>
      </c>
      <c r="AY64" s="315">
        <f t="shared" si="73"/>
        <v>0</v>
      </c>
      <c r="AZ64" s="313" t="s">
        <v>529</v>
      </c>
      <c r="BA64" s="313" t="s">
        <v>1068</v>
      </c>
      <c r="BB64" s="313" t="s">
        <v>1045</v>
      </c>
      <c r="BC64" s="313" t="s">
        <v>495</v>
      </c>
      <c r="BE64" s="313"/>
      <c r="BG64" s="313"/>
      <c r="BH64" s="313"/>
      <c r="BI64" s="313"/>
      <c r="BJ64" s="313"/>
      <c r="BK64" s="313"/>
      <c r="BL64" s="313"/>
      <c r="BM64" s="313"/>
      <c r="BN64" s="313"/>
      <c r="BO64" s="313"/>
      <c r="BP64" s="313"/>
      <c r="BR64" s="258" t="s">
        <v>1016</v>
      </c>
      <c r="BS64" s="257">
        <v>2</v>
      </c>
      <c r="BT64" s="257">
        <v>-2</v>
      </c>
      <c r="BU64" s="315">
        <v>200</v>
      </c>
    </row>
    <row r="65" spans="1:73" ht="32">
      <c r="A65" s="313" t="s">
        <v>1043</v>
      </c>
      <c r="B65" s="315">
        <f t="shared" si="60"/>
        <v>0</v>
      </c>
      <c r="C65" s="313" t="str">
        <f t="shared" si="61"/>
        <v>No stats</v>
      </c>
      <c r="D65" s="313">
        <f t="shared" si="62"/>
        <v>0</v>
      </c>
      <c r="E65" s="315">
        <v>0</v>
      </c>
      <c r="F65" s="315">
        <v>0</v>
      </c>
      <c r="G65" s="315">
        <v>0</v>
      </c>
      <c r="H65" s="315">
        <v>0</v>
      </c>
      <c r="I65" s="315">
        <v>0</v>
      </c>
      <c r="J65" s="315">
        <v>0</v>
      </c>
      <c r="K65" s="315">
        <v>0</v>
      </c>
      <c r="L65" s="315">
        <v>0</v>
      </c>
      <c r="M65" s="315">
        <v>15</v>
      </c>
      <c r="N65" s="315">
        <v>0</v>
      </c>
      <c r="O65" s="315">
        <f t="shared" si="63"/>
        <v>0</v>
      </c>
      <c r="P65" s="315" t="e">
        <f t="shared" si="64"/>
        <v>#N/A</v>
      </c>
      <c r="Q65" s="315">
        <f t="shared" si="65"/>
        <v>0</v>
      </c>
      <c r="R65" s="315">
        <f t="shared" si="66"/>
        <v>0</v>
      </c>
      <c r="S65" s="315">
        <f t="shared" si="67"/>
        <v>0</v>
      </c>
      <c r="T65" s="315">
        <f t="shared" si="68"/>
        <v>0</v>
      </c>
      <c r="U65" s="315">
        <f t="shared" si="69"/>
        <v>0</v>
      </c>
      <c r="V65" s="315">
        <f t="shared" si="70"/>
        <v>0</v>
      </c>
      <c r="W65" s="313" t="s">
        <v>2610</v>
      </c>
      <c r="X65" s="313"/>
      <c r="Y65" s="313"/>
      <c r="Z65" s="313"/>
      <c r="AA65" s="313"/>
      <c r="AB65" s="313"/>
      <c r="AC65" s="313"/>
      <c r="AD65" s="315" t="b">
        <f t="shared" si="14"/>
        <v>0</v>
      </c>
      <c r="AE65" s="315" t="b">
        <f t="shared" si="71"/>
        <v>0</v>
      </c>
      <c r="AF65" s="313"/>
      <c r="AG65" s="313"/>
      <c r="AH65" s="313"/>
      <c r="AI65" s="313"/>
      <c r="AJ65" s="313"/>
      <c r="AK65" s="313"/>
      <c r="AL65" s="313"/>
      <c r="AM65" s="313"/>
      <c r="AN65" s="313"/>
      <c r="AO65" s="313"/>
      <c r="AP65" s="313"/>
      <c r="AQ65" s="313"/>
      <c r="AR65" s="313"/>
      <c r="AS65" s="313"/>
      <c r="AT65" s="313"/>
      <c r="AU65" s="313"/>
      <c r="AV65" s="313"/>
      <c r="AX65" s="315">
        <f t="shared" si="72"/>
        <v>0</v>
      </c>
      <c r="AY65" s="315">
        <f t="shared" si="73"/>
        <v>0</v>
      </c>
      <c r="AZ65" s="313" t="s">
        <v>529</v>
      </c>
      <c r="BA65" s="313" t="s">
        <v>1068</v>
      </c>
      <c r="BB65" s="313" t="s">
        <v>1043</v>
      </c>
      <c r="BC65" s="313" t="s">
        <v>495</v>
      </c>
      <c r="BE65" s="313"/>
      <c r="BG65" s="313"/>
      <c r="BH65" s="313"/>
      <c r="BI65" s="313"/>
      <c r="BJ65" s="313"/>
      <c r="BK65" s="313"/>
      <c r="BL65" s="313"/>
      <c r="BM65" s="313"/>
      <c r="BN65" s="313"/>
      <c r="BO65" s="313"/>
      <c r="BP65" s="313"/>
      <c r="BR65" s="258" t="s">
        <v>1534</v>
      </c>
      <c r="BS65" s="257">
        <v>3</v>
      </c>
      <c r="BT65" s="257">
        <v>-3</v>
      </c>
      <c r="BU65" s="315">
        <v>500</v>
      </c>
    </row>
    <row r="66" spans="1:73" ht="16">
      <c r="A66" s="313" t="s">
        <v>1146</v>
      </c>
      <c r="B66" s="315">
        <f t="shared" si="60"/>
        <v>0</v>
      </c>
      <c r="C66" s="313" t="str">
        <f t="shared" si="61"/>
        <v>No stats</v>
      </c>
      <c r="D66" s="313">
        <f t="shared" si="62"/>
        <v>0</v>
      </c>
      <c r="E66" s="315">
        <v>0</v>
      </c>
      <c r="F66" s="315">
        <v>0</v>
      </c>
      <c r="G66" s="315">
        <v>0</v>
      </c>
      <c r="H66" s="315">
        <v>0</v>
      </c>
      <c r="I66" s="315">
        <v>0</v>
      </c>
      <c r="J66" s="315">
        <v>0</v>
      </c>
      <c r="K66" s="315">
        <v>0</v>
      </c>
      <c r="L66" s="315">
        <v>0</v>
      </c>
      <c r="M66" s="315">
        <v>15</v>
      </c>
      <c r="N66" s="315">
        <v>0</v>
      </c>
      <c r="O66" s="315">
        <f t="shared" si="63"/>
        <v>0</v>
      </c>
      <c r="P66" s="315" t="e">
        <f t="shared" si="64"/>
        <v>#N/A</v>
      </c>
      <c r="Q66" s="315">
        <f t="shared" si="65"/>
        <v>0</v>
      </c>
      <c r="R66" s="315">
        <f t="shared" si="66"/>
        <v>0</v>
      </c>
      <c r="S66" s="315">
        <f t="shared" si="67"/>
        <v>0</v>
      </c>
      <c r="T66" s="315">
        <f t="shared" si="68"/>
        <v>0</v>
      </c>
      <c r="U66" s="315">
        <f t="shared" si="69"/>
        <v>0</v>
      </c>
      <c r="V66" s="315">
        <f t="shared" si="70"/>
        <v>0</v>
      </c>
      <c r="W66" s="313" t="s">
        <v>2617</v>
      </c>
      <c r="X66" s="313"/>
      <c r="Y66" s="313"/>
      <c r="Z66" s="313"/>
      <c r="AA66" s="313"/>
      <c r="AB66" s="313"/>
      <c r="AC66" s="313"/>
      <c r="AD66" s="315" t="b">
        <f t="shared" si="14"/>
        <v>0</v>
      </c>
      <c r="AE66" s="315" t="b">
        <f t="shared" si="71"/>
        <v>0</v>
      </c>
      <c r="AF66" s="313"/>
      <c r="AG66" s="313"/>
      <c r="AH66" s="313"/>
      <c r="AI66" s="313"/>
      <c r="AJ66" s="313"/>
      <c r="AK66" s="313"/>
      <c r="AL66" s="313"/>
      <c r="AM66" s="313"/>
      <c r="AN66" s="313"/>
      <c r="AO66" s="313"/>
      <c r="AP66" s="313"/>
      <c r="AQ66" s="313"/>
      <c r="AR66" s="313"/>
      <c r="AS66" s="313"/>
      <c r="AT66" s="313"/>
      <c r="AU66" s="313"/>
      <c r="AV66" s="313"/>
      <c r="AX66" s="315">
        <f t="shared" si="72"/>
        <v>0</v>
      </c>
      <c r="AY66" s="315">
        <f t="shared" si="73"/>
        <v>0</v>
      </c>
      <c r="AZ66" s="313" t="s">
        <v>789</v>
      </c>
      <c r="BA66" s="313" t="s">
        <v>990</v>
      </c>
      <c r="BB66" s="313" t="s">
        <v>1146</v>
      </c>
      <c r="BC66" s="313" t="s">
        <v>495</v>
      </c>
      <c r="BE66" s="313"/>
      <c r="BG66" s="313"/>
      <c r="BH66" s="313"/>
      <c r="BI66" s="313"/>
      <c r="BJ66" s="313"/>
      <c r="BK66" s="313"/>
      <c r="BL66" s="313"/>
      <c r="BM66" s="313"/>
      <c r="BN66" s="313"/>
      <c r="BO66" s="313"/>
      <c r="BP66" s="313"/>
      <c r="BR66" s="258" t="s">
        <v>1770</v>
      </c>
      <c r="BS66" s="257">
        <v>4</v>
      </c>
      <c r="BT66" s="257">
        <v>-4</v>
      </c>
      <c r="BU66" s="315">
        <v>1500</v>
      </c>
    </row>
    <row r="67" spans="1:73" ht="32">
      <c r="A67" s="313" t="s">
        <v>1148</v>
      </c>
      <c r="B67" s="315">
        <f t="shared" si="60"/>
        <v>0</v>
      </c>
      <c r="C67" s="313" t="str">
        <f t="shared" si="61"/>
        <v>No stats</v>
      </c>
      <c r="D67" s="313">
        <f t="shared" si="62"/>
        <v>0</v>
      </c>
      <c r="E67" s="315">
        <v>0</v>
      </c>
      <c r="F67" s="315">
        <v>0</v>
      </c>
      <c r="G67" s="315">
        <v>0</v>
      </c>
      <c r="H67" s="315">
        <v>0</v>
      </c>
      <c r="I67" s="315">
        <v>0</v>
      </c>
      <c r="J67" s="315">
        <v>0</v>
      </c>
      <c r="K67" s="315">
        <v>0</v>
      </c>
      <c r="L67" s="315">
        <v>0</v>
      </c>
      <c r="M67" s="315">
        <v>15</v>
      </c>
      <c r="N67" s="315">
        <v>0</v>
      </c>
      <c r="O67" s="315">
        <f t="shared" si="63"/>
        <v>0</v>
      </c>
      <c r="P67" s="315" t="e">
        <f t="shared" si="64"/>
        <v>#N/A</v>
      </c>
      <c r="Q67" s="315">
        <f t="shared" si="65"/>
        <v>0</v>
      </c>
      <c r="R67" s="315">
        <f t="shared" si="66"/>
        <v>0</v>
      </c>
      <c r="S67" s="315">
        <f t="shared" si="67"/>
        <v>0</v>
      </c>
      <c r="T67" s="315">
        <f t="shared" si="68"/>
        <v>0</v>
      </c>
      <c r="U67" s="315">
        <f t="shared" si="69"/>
        <v>0</v>
      </c>
      <c r="V67" s="315">
        <f t="shared" si="70"/>
        <v>0</v>
      </c>
      <c r="W67" s="313" t="s">
        <v>2609</v>
      </c>
      <c r="X67" s="313"/>
      <c r="Y67" s="313"/>
      <c r="Z67" s="313"/>
      <c r="AA67" s="313"/>
      <c r="AB67" s="313"/>
      <c r="AC67" s="313"/>
      <c r="AD67" s="315" t="b">
        <f t="shared" ref="AD67:AD130" si="74">IF(BG67="Formidable",20,IF(BG67="Easy",15,IF(BG67="Routine",10,IF(BG67="Difficult",5))))</f>
        <v>0</v>
      </c>
      <c r="AE67" s="315" t="b">
        <f t="shared" si="71"/>
        <v>0</v>
      </c>
      <c r="AF67" s="313"/>
      <c r="AG67" s="313"/>
      <c r="AH67" s="313"/>
      <c r="AI67" s="313"/>
      <c r="AJ67" s="313"/>
      <c r="AK67" s="313"/>
      <c r="AL67" s="313"/>
      <c r="AM67" s="313"/>
      <c r="AN67" s="313"/>
      <c r="AO67" s="313"/>
      <c r="AP67" s="313"/>
      <c r="AQ67" s="313"/>
      <c r="AR67" s="313"/>
      <c r="AS67" s="313"/>
      <c r="AT67" s="313"/>
      <c r="AU67" s="313"/>
      <c r="AV67" s="313"/>
      <c r="AX67" s="315">
        <f t="shared" si="72"/>
        <v>0</v>
      </c>
      <c r="AY67" s="315">
        <f t="shared" si="73"/>
        <v>0</v>
      </c>
      <c r="AZ67" s="313" t="s">
        <v>790</v>
      </c>
      <c r="BA67" s="313" t="s">
        <v>989</v>
      </c>
      <c r="BB67" s="313" t="s">
        <v>1148</v>
      </c>
      <c r="BC67" s="313" t="s">
        <v>495</v>
      </c>
      <c r="BE67" s="313"/>
      <c r="BG67" s="313"/>
      <c r="BH67" s="313"/>
      <c r="BI67" s="313"/>
      <c r="BJ67" s="313"/>
      <c r="BK67" s="313"/>
      <c r="BL67" s="313"/>
      <c r="BM67" s="313"/>
      <c r="BN67" s="313"/>
      <c r="BO67" s="313"/>
      <c r="BP67" s="313"/>
      <c r="BR67" s="258" t="s">
        <v>1787</v>
      </c>
      <c r="BS67" s="257">
        <v>5</v>
      </c>
      <c r="BT67" s="257">
        <v>-5</v>
      </c>
      <c r="BU67" s="315">
        <v>5000</v>
      </c>
    </row>
    <row r="68" spans="1:73" ht="64">
      <c r="A68" s="313" t="s">
        <v>1050</v>
      </c>
      <c r="B68" s="315">
        <f t="shared" si="60"/>
        <v>0</v>
      </c>
      <c r="C68" s="313" t="str">
        <f t="shared" si="61"/>
        <v>No stats</v>
      </c>
      <c r="D68" s="313">
        <f t="shared" si="62"/>
        <v>0</v>
      </c>
      <c r="E68" s="315">
        <v>0</v>
      </c>
      <c r="F68" s="315">
        <v>0</v>
      </c>
      <c r="G68" s="315">
        <v>0</v>
      </c>
      <c r="H68" s="315">
        <v>0</v>
      </c>
      <c r="I68" s="315">
        <v>0</v>
      </c>
      <c r="J68" s="315">
        <v>0</v>
      </c>
      <c r="K68" s="315">
        <v>0</v>
      </c>
      <c r="L68" s="315">
        <v>0</v>
      </c>
      <c r="M68" s="315">
        <v>15</v>
      </c>
      <c r="N68" s="315">
        <v>0</v>
      </c>
      <c r="O68" s="315">
        <f t="shared" si="63"/>
        <v>0</v>
      </c>
      <c r="P68" s="315" t="e">
        <f t="shared" si="64"/>
        <v>#N/A</v>
      </c>
      <c r="Q68" s="315">
        <f t="shared" si="65"/>
        <v>0</v>
      </c>
      <c r="R68" s="315">
        <f t="shared" si="66"/>
        <v>0</v>
      </c>
      <c r="S68" s="315">
        <f t="shared" si="67"/>
        <v>0</v>
      </c>
      <c r="T68" s="315">
        <f t="shared" si="68"/>
        <v>0</v>
      </c>
      <c r="U68" s="315">
        <f t="shared" si="69"/>
        <v>0</v>
      </c>
      <c r="V68" s="315">
        <f t="shared" si="70"/>
        <v>0</v>
      </c>
      <c r="W68" s="313" t="s">
        <v>2613</v>
      </c>
      <c r="X68" s="313"/>
      <c r="Y68" s="313"/>
      <c r="Z68" s="313"/>
      <c r="AA68" s="313"/>
      <c r="AB68" s="313"/>
      <c r="AC68" s="313"/>
      <c r="AD68" s="315" t="b">
        <f t="shared" si="74"/>
        <v>0</v>
      </c>
      <c r="AE68" s="315" t="b">
        <f t="shared" si="71"/>
        <v>0</v>
      </c>
      <c r="AF68" s="313"/>
      <c r="AG68" s="313"/>
      <c r="AH68" s="313"/>
      <c r="AI68" s="313"/>
      <c r="AJ68" s="313"/>
      <c r="AK68" s="313"/>
      <c r="AL68" s="313"/>
      <c r="AM68" s="313"/>
      <c r="AN68" s="313"/>
      <c r="AO68" s="313"/>
      <c r="AP68" s="313"/>
      <c r="AQ68" s="313"/>
      <c r="AR68" s="313"/>
      <c r="AS68" s="313"/>
      <c r="AT68" s="313"/>
      <c r="AU68" s="313"/>
      <c r="AV68" s="313"/>
      <c r="AX68" s="315">
        <f t="shared" si="72"/>
        <v>0</v>
      </c>
      <c r="AY68" s="315">
        <f t="shared" si="73"/>
        <v>0</v>
      </c>
      <c r="AZ68" s="313" t="s">
        <v>790</v>
      </c>
      <c r="BA68" s="313" t="s">
        <v>989</v>
      </c>
      <c r="BB68" s="313" t="s">
        <v>1050</v>
      </c>
      <c r="BC68" s="313" t="s">
        <v>495</v>
      </c>
      <c r="BE68" s="313"/>
      <c r="BG68" s="313"/>
      <c r="BH68" s="313"/>
      <c r="BI68" s="313"/>
      <c r="BJ68" s="313"/>
      <c r="BK68" s="313"/>
      <c r="BL68" s="313"/>
      <c r="BM68" s="313"/>
      <c r="BN68" s="313"/>
      <c r="BO68" s="313"/>
      <c r="BP68" s="313"/>
      <c r="BR68" s="258" t="s">
        <v>1781</v>
      </c>
      <c r="BS68" s="257">
        <v>6</v>
      </c>
      <c r="BT68" s="257">
        <v>-6</v>
      </c>
      <c r="BU68" s="315">
        <v>20000</v>
      </c>
    </row>
    <row r="69" spans="1:73" ht="32">
      <c r="A69" s="313" t="s">
        <v>920</v>
      </c>
      <c r="B69" s="315">
        <f t="shared" si="60"/>
        <v>0</v>
      </c>
      <c r="C69" s="313" t="str">
        <f t="shared" si="61"/>
        <v>No stats</v>
      </c>
      <c r="D69" s="313">
        <f t="shared" si="62"/>
        <v>0</v>
      </c>
      <c r="E69" s="315">
        <v>0</v>
      </c>
      <c r="F69" s="315">
        <v>0</v>
      </c>
      <c r="G69" s="315">
        <v>0</v>
      </c>
      <c r="H69" s="315">
        <v>0</v>
      </c>
      <c r="I69" s="315">
        <v>0</v>
      </c>
      <c r="J69" s="315">
        <v>0</v>
      </c>
      <c r="K69" s="315">
        <v>0</v>
      </c>
      <c r="L69" s="315">
        <v>0</v>
      </c>
      <c r="M69" s="315">
        <v>15</v>
      </c>
      <c r="N69" s="315">
        <v>0</v>
      </c>
      <c r="O69" s="315">
        <f t="shared" si="63"/>
        <v>0</v>
      </c>
      <c r="P69" s="315" t="e">
        <f t="shared" si="64"/>
        <v>#N/A</v>
      </c>
      <c r="Q69" s="315">
        <f t="shared" si="65"/>
        <v>0</v>
      </c>
      <c r="R69" s="315">
        <f t="shared" si="66"/>
        <v>0</v>
      </c>
      <c r="S69" s="315">
        <f t="shared" si="67"/>
        <v>0</v>
      </c>
      <c r="T69" s="315">
        <f t="shared" si="68"/>
        <v>0</v>
      </c>
      <c r="U69" s="315">
        <f t="shared" si="69"/>
        <v>0</v>
      </c>
      <c r="V69" s="315">
        <f t="shared" si="70"/>
        <v>0</v>
      </c>
      <c r="W69" s="313" t="s">
        <v>2614</v>
      </c>
      <c r="X69" s="313"/>
      <c r="Y69" s="313"/>
      <c r="Z69" s="313"/>
      <c r="AA69" s="313"/>
      <c r="AB69" s="313"/>
      <c r="AC69" s="313"/>
      <c r="AD69" s="315" t="b">
        <f t="shared" si="74"/>
        <v>0</v>
      </c>
      <c r="AE69" s="315" t="b">
        <f t="shared" si="71"/>
        <v>0</v>
      </c>
      <c r="AF69" s="313"/>
      <c r="AG69" s="313"/>
      <c r="AH69" s="313"/>
      <c r="AI69" s="313"/>
      <c r="AJ69" s="313"/>
      <c r="AK69" s="313"/>
      <c r="AL69" s="313"/>
      <c r="AM69" s="313"/>
      <c r="AN69" s="313"/>
      <c r="AO69" s="313"/>
      <c r="AP69" s="313"/>
      <c r="AQ69" s="313"/>
      <c r="AR69" s="313"/>
      <c r="AS69" s="313"/>
      <c r="AT69" s="313"/>
      <c r="AU69" s="313"/>
      <c r="AV69" s="313"/>
      <c r="AX69" s="315">
        <f t="shared" si="72"/>
        <v>0</v>
      </c>
      <c r="AY69" s="315" t="str">
        <f t="shared" si="73"/>
        <v>Yes</v>
      </c>
      <c r="AZ69" s="313" t="s">
        <v>790</v>
      </c>
      <c r="BA69" s="313" t="s">
        <v>989</v>
      </c>
      <c r="BB69" s="313" t="s">
        <v>920</v>
      </c>
      <c r="BC69" s="313" t="s">
        <v>495</v>
      </c>
      <c r="BE69" s="313"/>
      <c r="BG69" s="313"/>
      <c r="BH69" s="313"/>
      <c r="BI69" s="313"/>
      <c r="BJ69" s="313"/>
      <c r="BK69" s="313"/>
      <c r="BL69" s="313"/>
      <c r="BM69" s="313"/>
      <c r="BN69" s="313"/>
      <c r="BO69" s="313"/>
      <c r="BP69" s="313" t="s">
        <v>437</v>
      </c>
      <c r="BR69" s="258" t="s">
        <v>1782</v>
      </c>
      <c r="BS69" s="257">
        <v>7</v>
      </c>
      <c r="BT69" s="257">
        <v>-7</v>
      </c>
      <c r="BU69" s="315">
        <v>30000</v>
      </c>
    </row>
    <row r="70" spans="1:73" ht="48">
      <c r="A70" s="313" t="s">
        <v>922</v>
      </c>
      <c r="B70" s="315">
        <f t="shared" si="60"/>
        <v>0</v>
      </c>
      <c r="C70" s="313" t="str">
        <f t="shared" si="61"/>
        <v>No stats</v>
      </c>
      <c r="D70" s="313">
        <f t="shared" si="62"/>
        <v>0</v>
      </c>
      <c r="E70" s="315">
        <v>0</v>
      </c>
      <c r="F70" s="315">
        <v>0</v>
      </c>
      <c r="G70" s="315">
        <v>0</v>
      </c>
      <c r="H70" s="315">
        <v>0</v>
      </c>
      <c r="I70" s="315">
        <v>0</v>
      </c>
      <c r="J70" s="315">
        <v>0</v>
      </c>
      <c r="K70" s="315">
        <v>0</v>
      </c>
      <c r="L70" s="315">
        <v>0</v>
      </c>
      <c r="M70" s="315">
        <v>15</v>
      </c>
      <c r="N70" s="315">
        <v>0</v>
      </c>
      <c r="O70" s="315">
        <f t="shared" si="63"/>
        <v>0</v>
      </c>
      <c r="P70" s="315" t="e">
        <f t="shared" si="64"/>
        <v>#N/A</v>
      </c>
      <c r="Q70" s="315">
        <f t="shared" si="65"/>
        <v>0</v>
      </c>
      <c r="R70" s="315">
        <f t="shared" si="66"/>
        <v>0</v>
      </c>
      <c r="S70" s="315">
        <f t="shared" si="67"/>
        <v>0</v>
      </c>
      <c r="T70" s="315">
        <f t="shared" si="68"/>
        <v>0</v>
      </c>
      <c r="U70" s="315">
        <f t="shared" si="69"/>
        <v>0</v>
      </c>
      <c r="V70" s="315">
        <f t="shared" si="70"/>
        <v>0</v>
      </c>
      <c r="W70" s="313" t="s">
        <v>2616</v>
      </c>
      <c r="X70" s="313"/>
      <c r="Y70" s="313"/>
      <c r="Z70" s="313"/>
      <c r="AA70" s="313"/>
      <c r="AB70" s="313"/>
      <c r="AC70" s="313"/>
      <c r="AD70" s="315" t="b">
        <f t="shared" si="74"/>
        <v>0</v>
      </c>
      <c r="AE70" s="315" t="b">
        <f t="shared" si="71"/>
        <v>0</v>
      </c>
      <c r="AF70" s="313"/>
      <c r="AG70" s="313"/>
      <c r="AH70" s="313"/>
      <c r="AI70" s="313"/>
      <c r="AJ70" s="313"/>
      <c r="AK70" s="313"/>
      <c r="AL70" s="313"/>
      <c r="AM70" s="313"/>
      <c r="AN70" s="313"/>
      <c r="AO70" s="313"/>
      <c r="AP70" s="313"/>
      <c r="AQ70" s="313"/>
      <c r="AR70" s="313"/>
      <c r="AS70" s="313"/>
      <c r="AT70" s="313"/>
      <c r="AU70" s="313"/>
      <c r="AV70" s="313"/>
      <c r="AX70" s="315">
        <f t="shared" si="72"/>
        <v>0</v>
      </c>
      <c r="AY70" s="315">
        <f t="shared" si="73"/>
        <v>0</v>
      </c>
      <c r="AZ70" s="313" t="s">
        <v>790</v>
      </c>
      <c r="BA70" s="313" t="s">
        <v>989</v>
      </c>
      <c r="BB70" s="313" t="s">
        <v>922</v>
      </c>
      <c r="BC70" s="313" t="s">
        <v>495</v>
      </c>
      <c r="BE70" s="313"/>
      <c r="BG70" s="313"/>
      <c r="BH70" s="313"/>
      <c r="BI70" s="313"/>
      <c r="BJ70" s="313"/>
      <c r="BK70" s="313"/>
      <c r="BL70" s="313"/>
      <c r="BM70" s="313"/>
      <c r="BN70" s="313"/>
      <c r="BO70" s="313"/>
      <c r="BP70" s="313"/>
      <c r="BR70" s="258" t="s">
        <v>1976</v>
      </c>
      <c r="BS70" s="257">
        <v>8</v>
      </c>
      <c r="BT70" s="257">
        <v>-8</v>
      </c>
      <c r="BU70" s="315">
        <v>50000</v>
      </c>
    </row>
    <row r="71" spans="1:73" ht="16">
      <c r="A71" s="313" t="s">
        <v>921</v>
      </c>
      <c r="B71" s="315">
        <f t="shared" si="60"/>
        <v>0</v>
      </c>
      <c r="C71" s="313" t="str">
        <f t="shared" si="61"/>
        <v>No stats</v>
      </c>
      <c r="D71" s="313">
        <f t="shared" si="62"/>
        <v>0</v>
      </c>
      <c r="E71" s="315">
        <v>0</v>
      </c>
      <c r="F71" s="315">
        <v>0</v>
      </c>
      <c r="G71" s="315">
        <v>0</v>
      </c>
      <c r="H71" s="315">
        <v>0</v>
      </c>
      <c r="I71" s="315">
        <v>0</v>
      </c>
      <c r="J71" s="315">
        <v>0</v>
      </c>
      <c r="K71" s="315">
        <v>0</v>
      </c>
      <c r="L71" s="315">
        <v>0</v>
      </c>
      <c r="M71" s="315">
        <v>15</v>
      </c>
      <c r="N71" s="315">
        <v>0</v>
      </c>
      <c r="O71" s="315">
        <f t="shared" si="63"/>
        <v>0</v>
      </c>
      <c r="P71" s="315" t="e">
        <f t="shared" si="64"/>
        <v>#N/A</v>
      </c>
      <c r="Q71" s="315">
        <f t="shared" si="65"/>
        <v>0</v>
      </c>
      <c r="R71" s="315">
        <f t="shared" si="66"/>
        <v>0</v>
      </c>
      <c r="S71" s="315">
        <f t="shared" si="67"/>
        <v>0</v>
      </c>
      <c r="T71" s="315">
        <f t="shared" si="68"/>
        <v>0</v>
      </c>
      <c r="U71" s="315">
        <f t="shared" si="69"/>
        <v>0</v>
      </c>
      <c r="V71" s="315">
        <f t="shared" si="70"/>
        <v>0</v>
      </c>
      <c r="W71" s="313" t="s">
        <v>2615</v>
      </c>
      <c r="X71" s="313"/>
      <c r="Y71" s="313"/>
      <c r="Z71" s="313"/>
      <c r="AA71" s="313"/>
      <c r="AB71" s="313"/>
      <c r="AC71" s="313"/>
      <c r="AD71" s="315" t="b">
        <f t="shared" si="74"/>
        <v>0</v>
      </c>
      <c r="AE71" s="315" t="b">
        <f t="shared" si="71"/>
        <v>0</v>
      </c>
      <c r="AF71" s="313"/>
      <c r="AG71" s="313"/>
      <c r="AH71" s="313"/>
      <c r="AI71" s="313"/>
      <c r="AJ71" s="313"/>
      <c r="AK71" s="313"/>
      <c r="AL71" s="313"/>
      <c r="AM71" s="313"/>
      <c r="AN71" s="313"/>
      <c r="AO71" s="313"/>
      <c r="AP71" s="313"/>
      <c r="AQ71" s="313"/>
      <c r="AR71" s="313"/>
      <c r="AS71" s="313"/>
      <c r="AT71" s="313"/>
      <c r="AU71" s="313"/>
      <c r="AV71" s="313"/>
      <c r="AX71" s="315">
        <f t="shared" si="72"/>
        <v>0</v>
      </c>
      <c r="AY71" s="315">
        <f t="shared" si="73"/>
        <v>0</v>
      </c>
      <c r="AZ71" s="313" t="s">
        <v>790</v>
      </c>
      <c r="BA71" s="313" t="s">
        <v>989</v>
      </c>
      <c r="BB71" s="313" t="s">
        <v>921</v>
      </c>
      <c r="BC71" s="313" t="s">
        <v>495</v>
      </c>
      <c r="BE71" s="313"/>
      <c r="BG71" s="313"/>
      <c r="BH71" s="313"/>
      <c r="BI71" s="313"/>
      <c r="BJ71" s="313"/>
      <c r="BK71" s="313"/>
      <c r="BL71" s="313"/>
      <c r="BM71" s="313"/>
      <c r="BN71" s="313"/>
      <c r="BO71" s="313"/>
      <c r="BP71" s="313"/>
      <c r="BR71" s="258" t="s">
        <v>1683</v>
      </c>
      <c r="BS71" s="257">
        <v>9</v>
      </c>
      <c r="BT71" s="257">
        <v>-9</v>
      </c>
      <c r="BU71" s="315">
        <v>100000</v>
      </c>
    </row>
    <row r="72" spans="1:73">
      <c r="A72" s="313" t="s">
        <v>923</v>
      </c>
      <c r="B72" s="315">
        <f t="shared" si="60"/>
        <v>0</v>
      </c>
      <c r="C72" s="313" t="str">
        <f t="shared" si="61"/>
        <v>No stats</v>
      </c>
      <c r="D72" s="313">
        <f t="shared" si="62"/>
        <v>0</v>
      </c>
      <c r="E72" s="315">
        <v>0</v>
      </c>
      <c r="F72" s="315">
        <v>0</v>
      </c>
      <c r="G72" s="315">
        <v>0</v>
      </c>
      <c r="H72" s="315">
        <v>0</v>
      </c>
      <c r="I72" s="315">
        <v>0</v>
      </c>
      <c r="J72" s="315">
        <v>0</v>
      </c>
      <c r="K72" s="315">
        <v>0</v>
      </c>
      <c r="L72" s="315">
        <v>0</v>
      </c>
      <c r="M72" s="315">
        <v>15</v>
      </c>
      <c r="N72" s="315">
        <v>0</v>
      </c>
      <c r="O72" s="315">
        <f t="shared" si="63"/>
        <v>0</v>
      </c>
      <c r="P72" s="315" t="e">
        <f t="shared" si="64"/>
        <v>#N/A</v>
      </c>
      <c r="Q72" s="315">
        <f t="shared" si="65"/>
        <v>0</v>
      </c>
      <c r="R72" s="315">
        <f t="shared" si="66"/>
        <v>0</v>
      </c>
      <c r="S72" s="315">
        <f t="shared" si="67"/>
        <v>0</v>
      </c>
      <c r="T72" s="315">
        <f t="shared" si="68"/>
        <v>0</v>
      </c>
      <c r="U72" s="315">
        <f t="shared" si="69"/>
        <v>0</v>
      </c>
      <c r="V72" s="315">
        <f t="shared" si="70"/>
        <v>0</v>
      </c>
      <c r="W72" s="313" t="s">
        <v>2621</v>
      </c>
      <c r="X72" s="313"/>
      <c r="Y72" s="313"/>
      <c r="Z72" s="313"/>
      <c r="AA72" s="313"/>
      <c r="AB72" s="313"/>
      <c r="AC72" s="313"/>
      <c r="AD72" s="315" t="b">
        <f t="shared" si="74"/>
        <v>0</v>
      </c>
      <c r="AE72" s="315" t="b">
        <f t="shared" si="71"/>
        <v>0</v>
      </c>
      <c r="AF72" s="313"/>
      <c r="AG72" s="313"/>
      <c r="AH72" s="313"/>
      <c r="AI72" s="313"/>
      <c r="AJ72" s="313"/>
      <c r="AK72" s="313"/>
      <c r="AL72" s="313"/>
      <c r="AM72" s="313"/>
      <c r="AN72" s="313"/>
      <c r="AO72" s="313"/>
      <c r="AP72" s="313"/>
      <c r="AQ72" s="313"/>
      <c r="AR72" s="313"/>
      <c r="AS72" s="313"/>
      <c r="AT72" s="313"/>
      <c r="AU72" s="313"/>
      <c r="AV72" s="313"/>
      <c r="AX72" s="315">
        <f t="shared" si="72"/>
        <v>0</v>
      </c>
      <c r="AY72" s="315">
        <f t="shared" si="73"/>
        <v>0</v>
      </c>
      <c r="AZ72" s="313" t="s">
        <v>1054</v>
      </c>
      <c r="BA72" s="313" t="s">
        <v>764</v>
      </c>
      <c r="BB72" s="313" t="s">
        <v>923</v>
      </c>
      <c r="BC72" s="313" t="s">
        <v>495</v>
      </c>
      <c r="BE72" s="313"/>
      <c r="BG72" s="313"/>
      <c r="BH72" s="313"/>
      <c r="BI72" s="313"/>
      <c r="BJ72" s="313"/>
      <c r="BK72" s="313"/>
      <c r="BL72" s="313"/>
      <c r="BM72" s="313"/>
      <c r="BN72" s="313"/>
      <c r="BO72" s="313"/>
      <c r="BP72" s="313"/>
    </row>
    <row r="73" spans="1:73">
      <c r="A73" s="313" t="s">
        <v>991</v>
      </c>
      <c r="B73" s="315">
        <f t="shared" si="60"/>
        <v>0</v>
      </c>
      <c r="C73" s="313" t="str">
        <f t="shared" si="61"/>
        <v>No stats</v>
      </c>
      <c r="D73" s="313">
        <f t="shared" si="62"/>
        <v>0</v>
      </c>
      <c r="E73" s="315">
        <v>0</v>
      </c>
      <c r="F73" s="315">
        <v>0</v>
      </c>
      <c r="G73" s="315">
        <v>0</v>
      </c>
      <c r="H73" s="315">
        <v>0</v>
      </c>
      <c r="I73" s="315">
        <v>0</v>
      </c>
      <c r="J73" s="315">
        <v>0</v>
      </c>
      <c r="K73" s="315">
        <v>0</v>
      </c>
      <c r="L73" s="315">
        <v>0</v>
      </c>
      <c r="M73" s="315">
        <v>15</v>
      </c>
      <c r="N73" s="315">
        <v>0</v>
      </c>
      <c r="O73" s="315">
        <f t="shared" si="63"/>
        <v>0</v>
      </c>
      <c r="P73" s="315" t="e">
        <f t="shared" si="64"/>
        <v>#N/A</v>
      </c>
      <c r="Q73" s="315">
        <f t="shared" si="65"/>
        <v>0</v>
      </c>
      <c r="R73" s="315">
        <f t="shared" si="66"/>
        <v>0</v>
      </c>
      <c r="S73" s="315">
        <f t="shared" si="67"/>
        <v>0</v>
      </c>
      <c r="T73" s="315">
        <f t="shared" si="68"/>
        <v>0</v>
      </c>
      <c r="U73" s="315">
        <f t="shared" si="69"/>
        <v>0</v>
      </c>
      <c r="V73" s="315">
        <f t="shared" si="70"/>
        <v>0</v>
      </c>
      <c r="W73" s="313" t="s">
        <v>2618</v>
      </c>
      <c r="X73" s="313"/>
      <c r="Y73" s="313"/>
      <c r="Z73" s="313"/>
      <c r="AA73" s="313"/>
      <c r="AB73" s="313"/>
      <c r="AC73" s="313"/>
      <c r="AD73" s="315" t="b">
        <f t="shared" si="74"/>
        <v>0</v>
      </c>
      <c r="AE73" s="315" t="b">
        <f t="shared" si="71"/>
        <v>0</v>
      </c>
      <c r="AF73" s="313"/>
      <c r="AG73" s="313"/>
      <c r="AH73" s="313"/>
      <c r="AI73" s="313"/>
      <c r="AJ73" s="313"/>
      <c r="AK73" s="313"/>
      <c r="AL73" s="313"/>
      <c r="AM73" s="313"/>
      <c r="AN73" s="313"/>
      <c r="AO73" s="313"/>
      <c r="AP73" s="313"/>
      <c r="AQ73" s="313"/>
      <c r="AR73" s="313"/>
      <c r="AS73" s="313"/>
      <c r="AT73" s="313"/>
      <c r="AU73" s="313"/>
      <c r="AV73" s="313"/>
      <c r="AX73" s="315">
        <f t="shared" si="72"/>
        <v>0</v>
      </c>
      <c r="AY73" s="315">
        <f t="shared" si="73"/>
        <v>0</v>
      </c>
      <c r="AZ73" s="313" t="s">
        <v>531</v>
      </c>
      <c r="BA73" s="313" t="s">
        <v>638</v>
      </c>
      <c r="BB73" s="313" t="s">
        <v>991</v>
      </c>
      <c r="BC73" s="313" t="s">
        <v>495</v>
      </c>
      <c r="BE73" s="313"/>
      <c r="BG73" s="313"/>
      <c r="BH73" s="313"/>
      <c r="BI73" s="313"/>
      <c r="BJ73" s="313"/>
      <c r="BK73" s="313"/>
      <c r="BL73" s="313"/>
      <c r="BM73" s="313"/>
      <c r="BN73" s="313"/>
      <c r="BO73" s="313"/>
      <c r="BP73" s="313"/>
    </row>
    <row r="74" spans="1:73">
      <c r="A74" s="313" t="s">
        <v>530</v>
      </c>
      <c r="B74" s="315">
        <f t="shared" si="60"/>
        <v>0</v>
      </c>
      <c r="C74" s="313" t="str">
        <f t="shared" si="61"/>
        <v>No stats</v>
      </c>
      <c r="D74" s="313">
        <f t="shared" si="62"/>
        <v>0</v>
      </c>
      <c r="E74" s="315">
        <v>0</v>
      </c>
      <c r="F74" s="315">
        <v>0</v>
      </c>
      <c r="G74" s="315">
        <v>0</v>
      </c>
      <c r="H74" s="315">
        <v>0</v>
      </c>
      <c r="I74" s="315">
        <v>0</v>
      </c>
      <c r="J74" s="315">
        <v>0</v>
      </c>
      <c r="K74" s="315">
        <v>0</v>
      </c>
      <c r="L74" s="315">
        <v>0</v>
      </c>
      <c r="M74" s="315">
        <v>15</v>
      </c>
      <c r="N74" s="315">
        <v>0</v>
      </c>
      <c r="O74" s="315">
        <f t="shared" si="63"/>
        <v>0</v>
      </c>
      <c r="P74" s="315" t="e">
        <f t="shared" si="64"/>
        <v>#N/A</v>
      </c>
      <c r="Q74" s="315">
        <f t="shared" si="65"/>
        <v>0</v>
      </c>
      <c r="R74" s="315">
        <f t="shared" si="66"/>
        <v>0</v>
      </c>
      <c r="S74" s="315">
        <f t="shared" si="67"/>
        <v>0</v>
      </c>
      <c r="T74" s="315">
        <f t="shared" si="68"/>
        <v>0</v>
      </c>
      <c r="U74" s="315">
        <f t="shared" si="69"/>
        <v>0</v>
      </c>
      <c r="V74" s="315">
        <f t="shared" si="70"/>
        <v>0</v>
      </c>
      <c r="W74" s="313" t="s">
        <v>2626</v>
      </c>
      <c r="X74" s="313"/>
      <c r="Y74" s="313"/>
      <c r="Z74" s="313"/>
      <c r="AA74" s="313"/>
      <c r="AB74" s="313"/>
      <c r="AC74" s="313"/>
      <c r="AD74" s="315" t="b">
        <f t="shared" si="74"/>
        <v>0</v>
      </c>
      <c r="AE74" s="315" t="b">
        <f t="shared" si="71"/>
        <v>0</v>
      </c>
      <c r="AF74" s="313"/>
      <c r="AG74" s="313"/>
      <c r="AH74" s="313"/>
      <c r="AI74" s="313"/>
      <c r="AJ74" s="313"/>
      <c r="AK74" s="313"/>
      <c r="AL74" s="313"/>
      <c r="AM74" s="313"/>
      <c r="AN74" s="313"/>
      <c r="AO74" s="313"/>
      <c r="AP74" s="313"/>
      <c r="AQ74" s="313"/>
      <c r="AR74" s="313"/>
      <c r="AS74" s="313"/>
      <c r="AT74" s="313"/>
      <c r="AU74" s="313"/>
      <c r="AV74" s="313"/>
      <c r="AX74" s="315">
        <f t="shared" si="72"/>
        <v>0</v>
      </c>
      <c r="AY74" s="315">
        <f t="shared" si="73"/>
        <v>0</v>
      </c>
      <c r="AZ74" s="313" t="s">
        <v>531</v>
      </c>
      <c r="BA74" s="313" t="s">
        <v>638</v>
      </c>
      <c r="BB74" s="313" t="s">
        <v>530</v>
      </c>
      <c r="BC74" s="313" t="s">
        <v>495</v>
      </c>
      <c r="BE74" s="313"/>
      <c r="BG74" s="313"/>
      <c r="BH74" s="313"/>
      <c r="BI74" s="313"/>
      <c r="BJ74" s="313"/>
      <c r="BK74" s="313"/>
      <c r="BL74" s="313"/>
      <c r="BM74" s="313"/>
      <c r="BN74" s="313"/>
      <c r="BO74" s="313"/>
      <c r="BP74" s="313"/>
      <c r="BR74" s="313" t="s">
        <v>2508</v>
      </c>
      <c r="BS74" s="313" t="s">
        <v>2513</v>
      </c>
    </row>
    <row r="75" spans="1:73">
      <c r="A75" s="313" t="s">
        <v>992</v>
      </c>
      <c r="B75" s="315">
        <f t="shared" si="60"/>
        <v>0</v>
      </c>
      <c r="C75" s="313" t="str">
        <f t="shared" si="61"/>
        <v>No stats</v>
      </c>
      <c r="D75" s="313">
        <f t="shared" si="62"/>
        <v>0</v>
      </c>
      <c r="E75" s="315">
        <v>0</v>
      </c>
      <c r="F75" s="315">
        <v>0</v>
      </c>
      <c r="G75" s="315">
        <v>0</v>
      </c>
      <c r="H75" s="315">
        <v>0</v>
      </c>
      <c r="I75" s="315">
        <v>0</v>
      </c>
      <c r="J75" s="315">
        <v>0</v>
      </c>
      <c r="K75" s="315">
        <v>0</v>
      </c>
      <c r="L75" s="315">
        <v>0</v>
      </c>
      <c r="M75" s="315">
        <v>15</v>
      </c>
      <c r="N75" s="315">
        <v>0</v>
      </c>
      <c r="O75" s="315">
        <f t="shared" si="63"/>
        <v>0</v>
      </c>
      <c r="P75" s="315" t="e">
        <f t="shared" si="64"/>
        <v>#N/A</v>
      </c>
      <c r="Q75" s="315">
        <f t="shared" si="65"/>
        <v>0</v>
      </c>
      <c r="R75" s="315">
        <f t="shared" si="66"/>
        <v>0</v>
      </c>
      <c r="S75" s="315">
        <f t="shared" si="67"/>
        <v>0</v>
      </c>
      <c r="T75" s="315">
        <f t="shared" si="68"/>
        <v>0</v>
      </c>
      <c r="U75" s="315">
        <f t="shared" si="69"/>
        <v>0</v>
      </c>
      <c r="V75" s="315">
        <f t="shared" si="70"/>
        <v>0</v>
      </c>
      <c r="W75" s="313" t="s">
        <v>2619</v>
      </c>
      <c r="X75" s="313"/>
      <c r="Y75" s="313"/>
      <c r="Z75" s="313"/>
      <c r="AA75" s="313"/>
      <c r="AB75" s="313"/>
      <c r="AC75" s="313"/>
      <c r="AD75" s="315" t="b">
        <f t="shared" si="74"/>
        <v>0</v>
      </c>
      <c r="AE75" s="315" t="b">
        <f t="shared" si="71"/>
        <v>0</v>
      </c>
      <c r="AF75" s="313"/>
      <c r="AG75" s="313"/>
      <c r="AH75" s="313"/>
      <c r="AI75" s="313"/>
      <c r="AJ75" s="313"/>
      <c r="AK75" s="313"/>
      <c r="AL75" s="313"/>
      <c r="AM75" s="313"/>
      <c r="AN75" s="313"/>
      <c r="AO75" s="313"/>
      <c r="AP75" s="313"/>
      <c r="AQ75" s="313"/>
      <c r="AR75" s="313"/>
      <c r="AS75" s="313"/>
      <c r="AT75" s="313"/>
      <c r="AU75" s="313"/>
      <c r="AV75" s="313"/>
      <c r="AX75" s="315">
        <f t="shared" si="72"/>
        <v>0</v>
      </c>
      <c r="AY75" s="315">
        <f t="shared" si="73"/>
        <v>0</v>
      </c>
      <c r="AZ75" s="313" t="s">
        <v>554</v>
      </c>
      <c r="BA75" s="313" t="s">
        <v>820</v>
      </c>
      <c r="BB75" s="313" t="s">
        <v>992</v>
      </c>
      <c r="BC75" s="313" t="s">
        <v>495</v>
      </c>
      <c r="BE75" s="313"/>
      <c r="BG75" s="313"/>
      <c r="BH75" s="313"/>
      <c r="BI75" s="313"/>
      <c r="BJ75" s="313"/>
      <c r="BK75" s="313"/>
      <c r="BL75" s="313"/>
      <c r="BM75" s="313"/>
      <c r="BN75" s="313"/>
      <c r="BO75" s="313"/>
      <c r="BP75" s="313"/>
      <c r="BR75" s="313" t="s">
        <v>2509</v>
      </c>
      <c r="BS75" s="313" t="s">
        <v>2514</v>
      </c>
    </row>
    <row r="76" spans="1:73">
      <c r="A76" s="313" t="s">
        <v>555</v>
      </c>
      <c r="B76" s="315">
        <f t="shared" si="60"/>
        <v>0</v>
      </c>
      <c r="C76" s="313" t="str">
        <f t="shared" si="61"/>
        <v>No stats</v>
      </c>
      <c r="D76" s="313">
        <f t="shared" si="62"/>
        <v>0</v>
      </c>
      <c r="E76" s="315">
        <v>0</v>
      </c>
      <c r="F76" s="315">
        <v>0</v>
      </c>
      <c r="G76" s="315">
        <v>0</v>
      </c>
      <c r="H76" s="315">
        <v>0</v>
      </c>
      <c r="I76" s="315">
        <v>0</v>
      </c>
      <c r="J76" s="315">
        <v>0</v>
      </c>
      <c r="K76" s="315">
        <v>0</v>
      </c>
      <c r="L76" s="315">
        <v>0</v>
      </c>
      <c r="M76" s="315">
        <v>15</v>
      </c>
      <c r="N76" s="315">
        <v>0</v>
      </c>
      <c r="O76" s="315">
        <f t="shared" si="63"/>
        <v>0</v>
      </c>
      <c r="P76" s="315" t="e">
        <f t="shared" si="64"/>
        <v>#N/A</v>
      </c>
      <c r="Q76" s="315">
        <f t="shared" si="65"/>
        <v>0</v>
      </c>
      <c r="R76" s="315">
        <f t="shared" si="66"/>
        <v>0</v>
      </c>
      <c r="S76" s="315">
        <f t="shared" si="67"/>
        <v>0</v>
      </c>
      <c r="T76" s="315">
        <f t="shared" si="68"/>
        <v>0</v>
      </c>
      <c r="U76" s="315">
        <f t="shared" si="69"/>
        <v>0</v>
      </c>
      <c r="V76" s="315">
        <f t="shared" si="70"/>
        <v>0</v>
      </c>
      <c r="W76" s="313" t="s">
        <v>2620</v>
      </c>
      <c r="X76" s="313"/>
      <c r="Y76" s="313"/>
      <c r="Z76" s="313"/>
      <c r="AA76" s="313"/>
      <c r="AB76" s="313"/>
      <c r="AC76" s="313"/>
      <c r="AD76" s="315" t="b">
        <f t="shared" si="74"/>
        <v>0</v>
      </c>
      <c r="AE76" s="315" t="b">
        <f t="shared" si="71"/>
        <v>0</v>
      </c>
      <c r="AF76" s="313"/>
      <c r="AG76" s="313"/>
      <c r="AH76" s="313"/>
      <c r="AI76" s="313"/>
      <c r="AJ76" s="313"/>
      <c r="AK76" s="313"/>
      <c r="AL76" s="313"/>
      <c r="AM76" s="313"/>
      <c r="AN76" s="313"/>
      <c r="AO76" s="313"/>
      <c r="AP76" s="313"/>
      <c r="AQ76" s="313"/>
      <c r="AR76" s="313"/>
      <c r="AS76" s="313"/>
      <c r="AT76" s="313"/>
      <c r="AU76" s="313"/>
      <c r="AV76" s="313"/>
      <c r="AX76" s="315">
        <f t="shared" si="72"/>
        <v>0</v>
      </c>
      <c r="AY76" s="315">
        <f t="shared" si="73"/>
        <v>0</v>
      </c>
      <c r="AZ76" s="313" t="s">
        <v>768</v>
      </c>
      <c r="BA76" s="313" t="s">
        <v>766</v>
      </c>
      <c r="BB76" s="313" t="s">
        <v>555</v>
      </c>
      <c r="BC76" s="313" t="s">
        <v>495</v>
      </c>
      <c r="BE76" s="313"/>
      <c r="BG76" s="313"/>
      <c r="BH76" s="313"/>
      <c r="BI76" s="313"/>
      <c r="BJ76" s="313"/>
      <c r="BK76" s="313"/>
      <c r="BL76" s="313"/>
      <c r="BM76" s="313"/>
      <c r="BN76" s="313"/>
      <c r="BO76" s="313"/>
      <c r="BP76" s="313"/>
      <c r="BR76" s="313" t="s">
        <v>2510</v>
      </c>
      <c r="BS76" s="313" t="s">
        <v>2515</v>
      </c>
    </row>
    <row r="77" spans="1:73">
      <c r="A77" s="313" t="s">
        <v>639</v>
      </c>
      <c r="B77" s="315">
        <f t="shared" si="60"/>
        <v>0</v>
      </c>
      <c r="C77" s="313" t="str">
        <f t="shared" si="61"/>
        <v>No stats</v>
      </c>
      <c r="D77" s="313">
        <f t="shared" si="62"/>
        <v>0</v>
      </c>
      <c r="E77" s="315">
        <v>0</v>
      </c>
      <c r="F77" s="315">
        <v>0</v>
      </c>
      <c r="G77" s="315">
        <v>0</v>
      </c>
      <c r="H77" s="315">
        <v>0</v>
      </c>
      <c r="I77" s="315">
        <v>0</v>
      </c>
      <c r="J77" s="315">
        <v>0</v>
      </c>
      <c r="K77" s="315">
        <v>0</v>
      </c>
      <c r="L77" s="315">
        <v>0</v>
      </c>
      <c r="M77" s="315">
        <v>15</v>
      </c>
      <c r="N77" s="315">
        <v>0</v>
      </c>
      <c r="O77" s="315">
        <f t="shared" si="63"/>
        <v>0</v>
      </c>
      <c r="P77" s="315" t="e">
        <f t="shared" si="64"/>
        <v>#N/A</v>
      </c>
      <c r="Q77" s="315">
        <f t="shared" si="65"/>
        <v>0</v>
      </c>
      <c r="R77" s="315">
        <f t="shared" si="66"/>
        <v>0</v>
      </c>
      <c r="S77" s="315">
        <f t="shared" si="67"/>
        <v>0</v>
      </c>
      <c r="T77" s="315">
        <f t="shared" si="68"/>
        <v>0</v>
      </c>
      <c r="U77" s="315">
        <f t="shared" si="69"/>
        <v>0</v>
      </c>
      <c r="V77" s="315">
        <f t="shared" si="70"/>
        <v>0</v>
      </c>
      <c r="W77" s="313" t="s">
        <v>2625</v>
      </c>
      <c r="X77" s="313"/>
      <c r="Y77" s="313"/>
      <c r="Z77" s="313"/>
      <c r="AA77" s="313"/>
      <c r="AB77" s="313"/>
      <c r="AC77" s="313"/>
      <c r="AD77" s="315" t="b">
        <f t="shared" si="74"/>
        <v>0</v>
      </c>
      <c r="AE77" s="315" t="b">
        <f t="shared" si="71"/>
        <v>0</v>
      </c>
      <c r="AF77" s="313"/>
      <c r="AG77" s="313"/>
      <c r="AH77" s="313"/>
      <c r="AI77" s="313"/>
      <c r="AJ77" s="313"/>
      <c r="AK77" s="313"/>
      <c r="AL77" s="313"/>
      <c r="AM77" s="313"/>
      <c r="AN77" s="313"/>
      <c r="AO77" s="313"/>
      <c r="AP77" s="313"/>
      <c r="AQ77" s="313"/>
      <c r="AR77" s="313"/>
      <c r="AS77" s="313"/>
      <c r="AT77" s="313"/>
      <c r="AU77" s="313"/>
      <c r="AV77" s="313"/>
      <c r="AX77" s="315">
        <f t="shared" si="72"/>
        <v>0</v>
      </c>
      <c r="AY77" s="315">
        <f t="shared" si="73"/>
        <v>0</v>
      </c>
      <c r="AZ77" s="313" t="s">
        <v>768</v>
      </c>
      <c r="BA77" s="313" t="s">
        <v>766</v>
      </c>
      <c r="BB77" s="313" t="s">
        <v>639</v>
      </c>
      <c r="BC77" s="313" t="s">
        <v>495</v>
      </c>
      <c r="BE77" s="313"/>
      <c r="BG77" s="313"/>
      <c r="BH77" s="313"/>
      <c r="BI77" s="313"/>
      <c r="BJ77" s="313"/>
      <c r="BK77" s="313"/>
      <c r="BL77" s="313"/>
      <c r="BM77" s="313"/>
      <c r="BN77" s="313"/>
      <c r="BO77" s="313"/>
      <c r="BP77" s="313"/>
      <c r="BR77" s="313" t="s">
        <v>2511</v>
      </c>
      <c r="BS77" s="313" t="s">
        <v>2516</v>
      </c>
    </row>
    <row r="78" spans="1:73">
      <c r="A78" s="313" t="s">
        <v>875</v>
      </c>
      <c r="B78" s="315">
        <f t="shared" si="60"/>
        <v>0</v>
      </c>
      <c r="C78" s="313" t="str">
        <f t="shared" si="61"/>
        <v>No stats</v>
      </c>
      <c r="D78" s="313">
        <f t="shared" si="62"/>
        <v>0</v>
      </c>
      <c r="E78" s="315">
        <v>0</v>
      </c>
      <c r="F78" s="315">
        <v>0</v>
      </c>
      <c r="G78" s="315">
        <v>0</v>
      </c>
      <c r="H78" s="315">
        <v>0</v>
      </c>
      <c r="I78" s="315">
        <v>0</v>
      </c>
      <c r="J78" s="315">
        <v>0</v>
      </c>
      <c r="K78" s="315">
        <v>0</v>
      </c>
      <c r="L78" s="315">
        <v>0</v>
      </c>
      <c r="M78" s="315">
        <v>15</v>
      </c>
      <c r="N78" s="315">
        <v>0</v>
      </c>
      <c r="O78" s="315">
        <f t="shared" si="63"/>
        <v>0</v>
      </c>
      <c r="P78" s="315" t="e">
        <f t="shared" si="64"/>
        <v>#N/A</v>
      </c>
      <c r="Q78" s="315">
        <f t="shared" si="65"/>
        <v>0</v>
      </c>
      <c r="R78" s="315">
        <f t="shared" si="66"/>
        <v>0</v>
      </c>
      <c r="S78" s="315">
        <f t="shared" si="67"/>
        <v>0</v>
      </c>
      <c r="T78" s="315">
        <f t="shared" si="68"/>
        <v>0</v>
      </c>
      <c r="U78" s="315">
        <f t="shared" si="69"/>
        <v>0</v>
      </c>
      <c r="V78" s="315">
        <f t="shared" si="70"/>
        <v>0</v>
      </c>
      <c r="W78" s="313" t="s">
        <v>2622</v>
      </c>
      <c r="X78" s="313"/>
      <c r="Y78" s="313"/>
      <c r="Z78" s="313"/>
      <c r="AA78" s="313"/>
      <c r="AB78" s="313"/>
      <c r="AC78" s="313"/>
      <c r="AD78" s="315" t="b">
        <f t="shared" si="74"/>
        <v>0</v>
      </c>
      <c r="AE78" s="315" t="b">
        <f t="shared" si="71"/>
        <v>0</v>
      </c>
      <c r="AF78" s="313"/>
      <c r="AG78" s="313"/>
      <c r="AH78" s="313"/>
      <c r="AI78" s="313"/>
      <c r="AJ78" s="313"/>
      <c r="AK78" s="313"/>
      <c r="AL78" s="313"/>
      <c r="AM78" s="313"/>
      <c r="AN78" s="313"/>
      <c r="AO78" s="313"/>
      <c r="AP78" s="313"/>
      <c r="AQ78" s="313"/>
      <c r="AR78" s="313"/>
      <c r="AS78" s="313"/>
      <c r="AT78" s="313"/>
      <c r="AU78" s="313"/>
      <c r="AV78" s="313"/>
      <c r="AX78" s="315">
        <f t="shared" si="72"/>
        <v>0</v>
      </c>
      <c r="AY78" s="315">
        <f t="shared" si="73"/>
        <v>0</v>
      </c>
      <c r="AZ78" s="313" t="s">
        <v>656</v>
      </c>
      <c r="BA78" s="313" t="s">
        <v>888</v>
      </c>
      <c r="BB78" s="313" t="s">
        <v>875</v>
      </c>
      <c r="BC78" s="313" t="s">
        <v>495</v>
      </c>
      <c r="BE78" s="313"/>
      <c r="BG78" s="313"/>
      <c r="BH78" s="313"/>
      <c r="BI78" s="313"/>
      <c r="BJ78" s="313"/>
      <c r="BK78" s="313"/>
      <c r="BL78" s="313"/>
      <c r="BM78" s="313"/>
      <c r="BN78" s="313"/>
      <c r="BO78" s="313"/>
      <c r="BP78" s="313"/>
      <c r="BR78" s="313" t="s">
        <v>2512</v>
      </c>
      <c r="BS78" s="313" t="s">
        <v>2517</v>
      </c>
    </row>
    <row r="79" spans="1:73">
      <c r="A79" s="313" t="s">
        <v>775</v>
      </c>
      <c r="B79" s="315">
        <f t="shared" si="60"/>
        <v>0</v>
      </c>
      <c r="C79" s="313" t="str">
        <f t="shared" si="61"/>
        <v>No stats</v>
      </c>
      <c r="D79" s="313">
        <f t="shared" si="62"/>
        <v>0</v>
      </c>
      <c r="E79" s="315">
        <v>0</v>
      </c>
      <c r="F79" s="315">
        <v>0</v>
      </c>
      <c r="G79" s="315">
        <v>0</v>
      </c>
      <c r="H79" s="315">
        <v>0</v>
      </c>
      <c r="I79" s="315">
        <v>0</v>
      </c>
      <c r="J79" s="315">
        <v>0</v>
      </c>
      <c r="K79" s="315">
        <v>0</v>
      </c>
      <c r="L79" s="315">
        <v>0</v>
      </c>
      <c r="M79" s="315">
        <v>15</v>
      </c>
      <c r="N79" s="315">
        <v>0</v>
      </c>
      <c r="O79" s="315">
        <f t="shared" si="63"/>
        <v>0</v>
      </c>
      <c r="P79" s="315" t="e">
        <f t="shared" si="64"/>
        <v>#N/A</v>
      </c>
      <c r="Q79" s="315">
        <f t="shared" si="65"/>
        <v>0</v>
      </c>
      <c r="R79" s="315">
        <f t="shared" si="66"/>
        <v>0</v>
      </c>
      <c r="S79" s="315">
        <f t="shared" si="67"/>
        <v>0</v>
      </c>
      <c r="T79" s="315">
        <f t="shared" si="68"/>
        <v>0</v>
      </c>
      <c r="U79" s="315">
        <f t="shared" si="69"/>
        <v>0</v>
      </c>
      <c r="V79" s="315">
        <f t="shared" si="70"/>
        <v>0</v>
      </c>
      <c r="W79" s="313" t="s">
        <v>2624</v>
      </c>
      <c r="X79" s="313"/>
      <c r="Y79" s="313"/>
      <c r="Z79" s="313"/>
      <c r="AA79" s="313"/>
      <c r="AB79" s="313"/>
      <c r="AC79" s="313"/>
      <c r="AD79" s="315" t="b">
        <f t="shared" si="74"/>
        <v>0</v>
      </c>
      <c r="AE79" s="315" t="b">
        <f t="shared" si="71"/>
        <v>0</v>
      </c>
      <c r="AF79" s="313"/>
      <c r="AG79" s="313"/>
      <c r="AH79" s="313"/>
      <c r="AI79" s="313"/>
      <c r="AJ79" s="313"/>
      <c r="AK79" s="313"/>
      <c r="AL79" s="313"/>
      <c r="AM79" s="313"/>
      <c r="AN79" s="313"/>
      <c r="AO79" s="313"/>
      <c r="AP79" s="313"/>
      <c r="AQ79" s="313"/>
      <c r="AR79" s="313"/>
      <c r="AS79" s="313"/>
      <c r="AT79" s="313"/>
      <c r="AU79" s="313"/>
      <c r="AV79" s="313"/>
      <c r="AX79" s="315">
        <f t="shared" si="72"/>
        <v>0</v>
      </c>
      <c r="AY79" s="315">
        <f t="shared" si="73"/>
        <v>0</v>
      </c>
      <c r="AZ79" s="313" t="s">
        <v>656</v>
      </c>
      <c r="BA79" s="313" t="s">
        <v>888</v>
      </c>
      <c r="BB79" s="313" t="s">
        <v>775</v>
      </c>
      <c r="BC79" s="313" t="s">
        <v>495</v>
      </c>
      <c r="BE79" s="313"/>
      <c r="BG79" s="313"/>
      <c r="BH79" s="313"/>
      <c r="BI79" s="313"/>
      <c r="BJ79" s="313"/>
      <c r="BK79" s="313"/>
      <c r="BL79" s="313"/>
      <c r="BM79" s="313"/>
      <c r="BN79" s="313"/>
      <c r="BO79" s="313"/>
      <c r="BP79" s="313"/>
    </row>
    <row r="80" spans="1:73">
      <c r="A80" s="313" t="s">
        <v>817</v>
      </c>
      <c r="B80" s="315">
        <f t="shared" si="60"/>
        <v>0</v>
      </c>
      <c r="C80" s="313" t="str">
        <f t="shared" si="61"/>
        <v>No stats</v>
      </c>
      <c r="D80" s="313">
        <f t="shared" si="62"/>
        <v>0</v>
      </c>
      <c r="E80" s="315">
        <v>0</v>
      </c>
      <c r="F80" s="315">
        <v>0</v>
      </c>
      <c r="G80" s="315">
        <v>0</v>
      </c>
      <c r="H80" s="315">
        <v>0</v>
      </c>
      <c r="I80" s="315">
        <v>0</v>
      </c>
      <c r="J80" s="315">
        <v>0</v>
      </c>
      <c r="K80" s="315">
        <v>0</v>
      </c>
      <c r="L80" s="315">
        <v>0</v>
      </c>
      <c r="M80" s="315">
        <v>15</v>
      </c>
      <c r="N80" s="315">
        <v>0</v>
      </c>
      <c r="O80" s="315">
        <f t="shared" si="63"/>
        <v>0</v>
      </c>
      <c r="P80" s="315" t="e">
        <f t="shared" si="64"/>
        <v>#N/A</v>
      </c>
      <c r="Q80" s="315">
        <f t="shared" si="65"/>
        <v>0</v>
      </c>
      <c r="R80" s="315">
        <f t="shared" si="66"/>
        <v>0</v>
      </c>
      <c r="S80" s="315">
        <f t="shared" si="67"/>
        <v>0</v>
      </c>
      <c r="T80" s="315">
        <f t="shared" si="68"/>
        <v>0</v>
      </c>
      <c r="U80" s="315">
        <f t="shared" si="69"/>
        <v>0</v>
      </c>
      <c r="V80" s="315">
        <f t="shared" si="70"/>
        <v>0</v>
      </c>
      <c r="W80" s="313" t="s">
        <v>2623</v>
      </c>
      <c r="X80" s="313"/>
      <c r="Y80" s="313"/>
      <c r="Z80" s="313"/>
      <c r="AA80" s="313"/>
      <c r="AB80" s="313"/>
      <c r="AC80" s="313"/>
      <c r="AD80" s="315" t="b">
        <f t="shared" si="74"/>
        <v>0</v>
      </c>
      <c r="AE80" s="315" t="b">
        <f t="shared" si="71"/>
        <v>0</v>
      </c>
      <c r="AF80" s="313"/>
      <c r="AG80" s="313"/>
      <c r="AH80" s="313"/>
      <c r="AI80" s="313"/>
      <c r="AJ80" s="313"/>
      <c r="AK80" s="313"/>
      <c r="AL80" s="313"/>
      <c r="AM80" s="313"/>
      <c r="AN80" s="313"/>
      <c r="AO80" s="313"/>
      <c r="AP80" s="313"/>
      <c r="AQ80" s="313"/>
      <c r="AR80" s="313"/>
      <c r="AS80" s="313"/>
      <c r="AT80" s="313"/>
      <c r="AU80" s="313"/>
      <c r="AV80" s="313"/>
      <c r="AX80" s="315">
        <f t="shared" si="72"/>
        <v>0</v>
      </c>
      <c r="AY80" s="315">
        <f t="shared" si="73"/>
        <v>0</v>
      </c>
      <c r="AZ80" s="313" t="s">
        <v>656</v>
      </c>
      <c r="BA80" s="313" t="s">
        <v>888</v>
      </c>
      <c r="BB80" s="313" t="s">
        <v>817</v>
      </c>
      <c r="BC80" s="313" t="s">
        <v>495</v>
      </c>
      <c r="BE80" s="313"/>
      <c r="BG80" s="313"/>
      <c r="BH80" s="313"/>
      <c r="BI80" s="313"/>
      <c r="BJ80" s="313"/>
      <c r="BK80" s="313"/>
      <c r="BL80" s="313"/>
      <c r="BM80" s="313"/>
      <c r="BN80" s="313"/>
      <c r="BO80" s="313"/>
      <c r="BP80" s="313"/>
    </row>
    <row r="81" spans="1:68">
      <c r="A81" s="313" t="s">
        <v>776</v>
      </c>
      <c r="B81" s="315">
        <f t="shared" si="60"/>
        <v>0</v>
      </c>
      <c r="C81" s="313" t="str">
        <f t="shared" si="61"/>
        <v>No stats</v>
      </c>
      <c r="D81" s="313">
        <f t="shared" si="62"/>
        <v>0</v>
      </c>
      <c r="E81" s="315">
        <v>0</v>
      </c>
      <c r="F81" s="315">
        <v>0</v>
      </c>
      <c r="G81" s="315">
        <v>0</v>
      </c>
      <c r="H81" s="315">
        <v>0</v>
      </c>
      <c r="I81" s="315">
        <v>0</v>
      </c>
      <c r="J81" s="315">
        <v>0</v>
      </c>
      <c r="K81" s="315">
        <v>0</v>
      </c>
      <c r="L81" s="315">
        <v>0</v>
      </c>
      <c r="M81" s="315">
        <v>15</v>
      </c>
      <c r="N81" s="315">
        <v>0</v>
      </c>
      <c r="O81" s="315">
        <f t="shared" si="63"/>
        <v>0</v>
      </c>
      <c r="P81" s="315" t="e">
        <f t="shared" si="64"/>
        <v>#N/A</v>
      </c>
      <c r="Q81" s="315">
        <f t="shared" si="65"/>
        <v>0</v>
      </c>
      <c r="R81" s="315">
        <f t="shared" si="66"/>
        <v>0</v>
      </c>
      <c r="S81" s="315">
        <f t="shared" si="67"/>
        <v>0</v>
      </c>
      <c r="T81" s="315">
        <f t="shared" si="68"/>
        <v>0</v>
      </c>
      <c r="U81" s="315">
        <f t="shared" si="69"/>
        <v>0</v>
      </c>
      <c r="V81" s="315">
        <f t="shared" si="70"/>
        <v>0</v>
      </c>
      <c r="W81" s="313" t="s">
        <v>2627</v>
      </c>
      <c r="X81" s="313"/>
      <c r="Y81" s="313"/>
      <c r="Z81" s="313"/>
      <c r="AA81" s="313"/>
      <c r="AB81" s="313"/>
      <c r="AC81" s="313"/>
      <c r="AD81" s="315" t="b">
        <f t="shared" si="74"/>
        <v>0</v>
      </c>
      <c r="AE81" s="315" t="b">
        <f t="shared" si="71"/>
        <v>0</v>
      </c>
      <c r="AF81" s="313"/>
      <c r="AG81" s="313"/>
      <c r="AH81" s="313"/>
      <c r="AI81" s="313"/>
      <c r="AJ81" s="313"/>
      <c r="AK81" s="313"/>
      <c r="AL81" s="313"/>
      <c r="AM81" s="313"/>
      <c r="AN81" s="313"/>
      <c r="AO81" s="313"/>
      <c r="AP81" s="313"/>
      <c r="AQ81" s="313"/>
      <c r="AR81" s="313"/>
      <c r="AS81" s="313"/>
      <c r="AT81" s="313"/>
      <c r="AU81" s="313"/>
      <c r="AV81" s="313"/>
      <c r="AX81" s="315">
        <f t="shared" si="72"/>
        <v>0</v>
      </c>
      <c r="AY81" s="315">
        <f t="shared" si="73"/>
        <v>0</v>
      </c>
      <c r="AZ81" s="313" t="s">
        <v>656</v>
      </c>
      <c r="BA81" s="313" t="s">
        <v>888</v>
      </c>
      <c r="BB81" s="313" t="s">
        <v>776</v>
      </c>
      <c r="BC81" s="313" t="s">
        <v>495</v>
      </c>
      <c r="BE81" s="313"/>
      <c r="BG81" s="313"/>
      <c r="BH81" s="313"/>
      <c r="BI81" s="313"/>
      <c r="BJ81" s="313"/>
      <c r="BK81" s="313"/>
      <c r="BL81" s="313"/>
      <c r="BM81" s="313"/>
      <c r="BN81" s="313"/>
      <c r="BO81" s="313"/>
      <c r="BP81" s="313"/>
    </row>
    <row r="82" spans="1:68">
      <c r="A82" s="313" t="s">
        <v>655</v>
      </c>
      <c r="B82" s="315">
        <f t="shared" si="60"/>
        <v>0</v>
      </c>
      <c r="C82" s="313" t="str">
        <f t="shared" si="61"/>
        <v>No stats</v>
      </c>
      <c r="D82" s="313">
        <f t="shared" si="62"/>
        <v>0</v>
      </c>
      <c r="E82" s="315">
        <v>0</v>
      </c>
      <c r="F82" s="315">
        <v>0</v>
      </c>
      <c r="G82" s="315">
        <v>0</v>
      </c>
      <c r="H82" s="315">
        <v>0</v>
      </c>
      <c r="I82" s="315">
        <v>0</v>
      </c>
      <c r="J82" s="315">
        <v>0</v>
      </c>
      <c r="K82" s="315">
        <v>0</v>
      </c>
      <c r="L82" s="315">
        <v>0</v>
      </c>
      <c r="M82" s="315">
        <v>15</v>
      </c>
      <c r="N82" s="315">
        <v>0</v>
      </c>
      <c r="O82" s="315">
        <f t="shared" si="63"/>
        <v>0</v>
      </c>
      <c r="P82" s="315" t="e">
        <f t="shared" si="64"/>
        <v>#N/A</v>
      </c>
      <c r="Q82" s="315">
        <f t="shared" si="65"/>
        <v>0</v>
      </c>
      <c r="R82" s="315">
        <f t="shared" si="66"/>
        <v>0</v>
      </c>
      <c r="S82" s="315">
        <f t="shared" si="67"/>
        <v>0</v>
      </c>
      <c r="T82" s="315">
        <f t="shared" si="68"/>
        <v>0</v>
      </c>
      <c r="U82" s="315">
        <f t="shared" si="69"/>
        <v>0</v>
      </c>
      <c r="V82" s="315">
        <f t="shared" si="70"/>
        <v>0</v>
      </c>
      <c r="W82" s="313" t="s">
        <v>2631</v>
      </c>
      <c r="X82" s="313"/>
      <c r="Y82" s="313"/>
      <c r="Z82" s="313"/>
      <c r="AA82" s="313"/>
      <c r="AB82" s="313"/>
      <c r="AC82" s="313"/>
      <c r="AD82" s="315" t="b">
        <f t="shared" si="74"/>
        <v>0</v>
      </c>
      <c r="AE82" s="315" t="b">
        <f t="shared" si="71"/>
        <v>0</v>
      </c>
      <c r="AF82" s="313"/>
      <c r="AG82" s="313"/>
      <c r="AH82" s="313"/>
      <c r="AI82" s="313"/>
      <c r="AJ82" s="313"/>
      <c r="AK82" s="313"/>
      <c r="AL82" s="313"/>
      <c r="AM82" s="313"/>
      <c r="AN82" s="313"/>
      <c r="AO82" s="313"/>
      <c r="AP82" s="313"/>
      <c r="AQ82" s="313"/>
      <c r="AR82" s="313"/>
      <c r="AS82" s="313"/>
      <c r="AT82" s="313"/>
      <c r="AU82" s="313"/>
      <c r="AV82" s="313"/>
      <c r="AX82" s="315">
        <f t="shared" si="72"/>
        <v>0</v>
      </c>
      <c r="AY82" s="315">
        <f t="shared" si="73"/>
        <v>0</v>
      </c>
      <c r="AZ82" s="313" t="s">
        <v>656</v>
      </c>
      <c r="BA82" s="313" t="s">
        <v>888</v>
      </c>
      <c r="BB82" s="313" t="s">
        <v>655</v>
      </c>
      <c r="BC82" s="313" t="s">
        <v>495</v>
      </c>
      <c r="BE82" s="313"/>
      <c r="BG82" s="313"/>
      <c r="BH82" s="313"/>
      <c r="BI82" s="313"/>
      <c r="BJ82" s="313"/>
      <c r="BK82" s="313"/>
      <c r="BL82" s="313"/>
      <c r="BM82" s="313"/>
      <c r="BN82" s="313"/>
      <c r="BO82" s="313"/>
      <c r="BP82" s="313"/>
    </row>
    <row r="83" spans="1:68">
      <c r="A83" s="313" t="s">
        <v>640</v>
      </c>
      <c r="B83" s="315">
        <f t="shared" si="60"/>
        <v>0</v>
      </c>
      <c r="C83" s="313" t="str">
        <f t="shared" si="61"/>
        <v>No stats</v>
      </c>
      <c r="D83" s="313">
        <f t="shared" si="62"/>
        <v>0</v>
      </c>
      <c r="E83" s="315">
        <v>0</v>
      </c>
      <c r="F83" s="315">
        <v>0</v>
      </c>
      <c r="G83" s="315">
        <v>0</v>
      </c>
      <c r="H83" s="315">
        <v>0</v>
      </c>
      <c r="I83" s="315">
        <v>0</v>
      </c>
      <c r="J83" s="315">
        <v>0</v>
      </c>
      <c r="K83" s="315">
        <v>0</v>
      </c>
      <c r="L83" s="315">
        <v>0</v>
      </c>
      <c r="M83" s="315">
        <v>15</v>
      </c>
      <c r="N83" s="315">
        <v>0</v>
      </c>
      <c r="O83" s="315">
        <f t="shared" si="63"/>
        <v>0</v>
      </c>
      <c r="P83" s="315" t="e">
        <f t="shared" si="64"/>
        <v>#N/A</v>
      </c>
      <c r="Q83" s="315">
        <f t="shared" si="65"/>
        <v>0</v>
      </c>
      <c r="R83" s="315">
        <f t="shared" si="66"/>
        <v>0</v>
      </c>
      <c r="S83" s="315">
        <f t="shared" si="67"/>
        <v>0</v>
      </c>
      <c r="T83" s="315">
        <f t="shared" si="68"/>
        <v>0</v>
      </c>
      <c r="U83" s="315">
        <f t="shared" si="69"/>
        <v>0</v>
      </c>
      <c r="V83" s="315">
        <f t="shared" si="70"/>
        <v>0</v>
      </c>
      <c r="W83" s="313" t="s">
        <v>2628</v>
      </c>
      <c r="X83" s="313"/>
      <c r="Y83" s="313"/>
      <c r="Z83" s="313"/>
      <c r="AA83" s="313"/>
      <c r="AB83" s="313"/>
      <c r="AC83" s="313"/>
      <c r="AD83" s="315" t="b">
        <f t="shared" si="74"/>
        <v>0</v>
      </c>
      <c r="AE83" s="315" t="b">
        <f t="shared" si="71"/>
        <v>0</v>
      </c>
      <c r="AF83" s="313"/>
      <c r="AG83" s="313"/>
      <c r="AH83" s="313"/>
      <c r="AI83" s="313"/>
      <c r="AJ83" s="313"/>
      <c r="AK83" s="313"/>
      <c r="AL83" s="313"/>
      <c r="AM83" s="313"/>
      <c r="AN83" s="313"/>
      <c r="AO83" s="313"/>
      <c r="AP83" s="313"/>
      <c r="AQ83" s="313"/>
      <c r="AR83" s="313"/>
      <c r="AS83" s="313"/>
      <c r="AT83" s="313"/>
      <c r="AU83" s="313"/>
      <c r="AV83" s="313"/>
      <c r="AX83" s="315">
        <f t="shared" si="72"/>
        <v>0</v>
      </c>
      <c r="AY83" s="315">
        <f t="shared" si="73"/>
        <v>0</v>
      </c>
      <c r="AZ83" s="313" t="s">
        <v>641</v>
      </c>
      <c r="BA83" s="313" t="s">
        <v>765</v>
      </c>
      <c r="BB83" s="313" t="s">
        <v>640</v>
      </c>
      <c r="BC83" s="313" t="s">
        <v>495</v>
      </c>
      <c r="BE83" s="313"/>
      <c r="BG83" s="313"/>
      <c r="BH83" s="313"/>
      <c r="BI83" s="313"/>
      <c r="BJ83" s="313"/>
      <c r="BK83" s="313"/>
      <c r="BL83" s="313"/>
      <c r="BM83" s="313"/>
      <c r="BN83" s="313"/>
      <c r="BO83" s="313"/>
      <c r="BP83" s="313"/>
    </row>
    <row r="84" spans="1:68">
      <c r="A84" s="313" t="s">
        <v>777</v>
      </c>
      <c r="B84" s="315">
        <f t="shared" si="60"/>
        <v>0</v>
      </c>
      <c r="C84" s="313" t="str">
        <f t="shared" si="61"/>
        <v>No stats</v>
      </c>
      <c r="D84" s="313">
        <f t="shared" si="62"/>
        <v>0</v>
      </c>
      <c r="E84" s="315">
        <v>0</v>
      </c>
      <c r="F84" s="315">
        <v>0</v>
      </c>
      <c r="G84" s="315">
        <v>0</v>
      </c>
      <c r="H84" s="315">
        <v>0</v>
      </c>
      <c r="I84" s="315">
        <v>0</v>
      </c>
      <c r="J84" s="315">
        <v>0</v>
      </c>
      <c r="K84" s="315">
        <v>0</v>
      </c>
      <c r="L84" s="315">
        <v>0</v>
      </c>
      <c r="M84" s="315">
        <v>15</v>
      </c>
      <c r="N84" s="315">
        <v>0</v>
      </c>
      <c r="O84" s="315">
        <f t="shared" si="63"/>
        <v>0</v>
      </c>
      <c r="P84" s="315" t="e">
        <f t="shared" si="64"/>
        <v>#N/A</v>
      </c>
      <c r="Q84" s="315">
        <f t="shared" si="65"/>
        <v>0</v>
      </c>
      <c r="R84" s="315">
        <f t="shared" si="66"/>
        <v>0</v>
      </c>
      <c r="S84" s="315">
        <f t="shared" si="67"/>
        <v>0</v>
      </c>
      <c r="T84" s="315">
        <f t="shared" si="68"/>
        <v>0</v>
      </c>
      <c r="U84" s="315">
        <f t="shared" si="69"/>
        <v>0</v>
      </c>
      <c r="V84" s="315">
        <f t="shared" si="70"/>
        <v>0</v>
      </c>
      <c r="W84" s="313" t="s">
        <v>2629</v>
      </c>
      <c r="X84" s="313"/>
      <c r="Y84" s="313"/>
      <c r="Z84" s="313"/>
      <c r="AA84" s="313"/>
      <c r="AB84" s="313"/>
      <c r="AC84" s="313"/>
      <c r="AD84" s="315" t="b">
        <f t="shared" si="74"/>
        <v>0</v>
      </c>
      <c r="AE84" s="315" t="b">
        <f t="shared" si="71"/>
        <v>0</v>
      </c>
      <c r="AF84" s="313"/>
      <c r="AG84" s="313"/>
      <c r="AH84" s="313"/>
      <c r="AI84" s="313"/>
      <c r="AJ84" s="313"/>
      <c r="AK84" s="313"/>
      <c r="AL84" s="313"/>
      <c r="AM84" s="313"/>
      <c r="AN84" s="313"/>
      <c r="AO84" s="313"/>
      <c r="AP84" s="313"/>
      <c r="AQ84" s="313"/>
      <c r="AR84" s="313"/>
      <c r="AS84" s="313"/>
      <c r="AT84" s="313"/>
      <c r="AU84" s="313"/>
      <c r="AV84" s="313"/>
      <c r="AX84" s="315">
        <f t="shared" si="72"/>
        <v>0</v>
      </c>
      <c r="AY84" s="315">
        <f t="shared" si="73"/>
        <v>0</v>
      </c>
      <c r="AZ84" s="313" t="s">
        <v>656</v>
      </c>
      <c r="BA84" s="313" t="s">
        <v>889</v>
      </c>
      <c r="BB84" s="313" t="s">
        <v>777</v>
      </c>
      <c r="BC84" s="313" t="s">
        <v>495</v>
      </c>
      <c r="BE84" s="313"/>
      <c r="BG84" s="313"/>
      <c r="BH84" s="313"/>
      <c r="BI84" s="313"/>
      <c r="BJ84" s="313"/>
      <c r="BK84" s="313"/>
      <c r="BL84" s="313"/>
      <c r="BM84" s="313"/>
      <c r="BN84" s="313"/>
      <c r="BO84" s="313"/>
      <c r="BP84" s="313"/>
    </row>
    <row r="85" spans="1:68">
      <c r="A85" s="313" t="s">
        <v>644</v>
      </c>
      <c r="B85" s="315">
        <f t="shared" si="60"/>
        <v>0</v>
      </c>
      <c r="C85" s="313" t="str">
        <f t="shared" si="61"/>
        <v>No stats</v>
      </c>
      <c r="D85" s="313">
        <f t="shared" si="62"/>
        <v>0</v>
      </c>
      <c r="E85" s="315">
        <v>0</v>
      </c>
      <c r="F85" s="315">
        <v>0</v>
      </c>
      <c r="G85" s="315">
        <v>0</v>
      </c>
      <c r="H85" s="315">
        <v>0</v>
      </c>
      <c r="I85" s="315">
        <v>0</v>
      </c>
      <c r="J85" s="315">
        <v>0</v>
      </c>
      <c r="K85" s="315">
        <v>0</v>
      </c>
      <c r="L85" s="315">
        <v>0</v>
      </c>
      <c r="M85" s="315">
        <v>15</v>
      </c>
      <c r="N85" s="315">
        <v>0</v>
      </c>
      <c r="O85" s="315">
        <f t="shared" si="63"/>
        <v>0</v>
      </c>
      <c r="P85" s="315" t="e">
        <f t="shared" si="64"/>
        <v>#N/A</v>
      </c>
      <c r="Q85" s="315">
        <f t="shared" si="65"/>
        <v>0</v>
      </c>
      <c r="R85" s="315">
        <f t="shared" si="66"/>
        <v>0</v>
      </c>
      <c r="S85" s="315">
        <f t="shared" si="67"/>
        <v>0</v>
      </c>
      <c r="T85" s="315">
        <f t="shared" si="68"/>
        <v>0</v>
      </c>
      <c r="U85" s="315">
        <f t="shared" si="69"/>
        <v>0</v>
      </c>
      <c r="V85" s="315">
        <f t="shared" si="70"/>
        <v>0</v>
      </c>
      <c r="W85" s="313" t="s">
        <v>2630</v>
      </c>
      <c r="X85" s="313"/>
      <c r="Y85" s="313"/>
      <c r="Z85" s="313"/>
      <c r="AA85" s="313"/>
      <c r="AB85" s="313"/>
      <c r="AC85" s="313"/>
      <c r="AD85" s="315" t="b">
        <f t="shared" si="74"/>
        <v>0</v>
      </c>
      <c r="AE85" s="315" t="b">
        <f t="shared" si="71"/>
        <v>0</v>
      </c>
      <c r="AF85" s="313"/>
      <c r="AG85" s="313"/>
      <c r="AH85" s="313"/>
      <c r="AI85" s="313"/>
      <c r="AJ85" s="313"/>
      <c r="AK85" s="313"/>
      <c r="AL85" s="313"/>
      <c r="AM85" s="313"/>
      <c r="AN85" s="313"/>
      <c r="AO85" s="313"/>
      <c r="AP85" s="313"/>
      <c r="AQ85" s="313"/>
      <c r="AR85" s="313"/>
      <c r="AS85" s="313"/>
      <c r="AT85" s="313"/>
      <c r="AU85" s="313"/>
      <c r="AV85" s="313"/>
      <c r="AX85" s="315">
        <f t="shared" si="72"/>
        <v>0</v>
      </c>
      <c r="AY85" s="315">
        <f t="shared" si="73"/>
        <v>0</v>
      </c>
      <c r="AZ85" s="313" t="s">
        <v>643</v>
      </c>
      <c r="BA85" s="313" t="s">
        <v>636</v>
      </c>
      <c r="BB85" s="313" t="s">
        <v>644</v>
      </c>
      <c r="BC85" s="313" t="s">
        <v>495</v>
      </c>
      <c r="BE85" s="313"/>
      <c r="BG85" s="313"/>
      <c r="BH85" s="313"/>
      <c r="BI85" s="313"/>
      <c r="BJ85" s="313"/>
      <c r="BK85" s="313"/>
      <c r="BL85" s="313"/>
      <c r="BM85" s="313"/>
      <c r="BN85" s="313"/>
      <c r="BO85" s="313"/>
      <c r="BP85" s="313"/>
    </row>
    <row r="86" spans="1:68">
      <c r="A86" s="313" t="s">
        <v>642</v>
      </c>
      <c r="B86" s="315">
        <f t="shared" si="60"/>
        <v>0</v>
      </c>
      <c r="C86" s="313" t="str">
        <f t="shared" si="61"/>
        <v>No stats</v>
      </c>
      <c r="D86" s="313">
        <f t="shared" si="62"/>
        <v>0</v>
      </c>
      <c r="E86" s="315">
        <v>0</v>
      </c>
      <c r="F86" s="315">
        <v>0</v>
      </c>
      <c r="G86" s="315">
        <v>0</v>
      </c>
      <c r="H86" s="315">
        <v>0</v>
      </c>
      <c r="I86" s="315">
        <v>0</v>
      </c>
      <c r="J86" s="315">
        <v>0</v>
      </c>
      <c r="K86" s="315">
        <v>0</v>
      </c>
      <c r="L86" s="315">
        <v>0</v>
      </c>
      <c r="M86" s="315">
        <v>15</v>
      </c>
      <c r="N86" s="315">
        <v>0</v>
      </c>
      <c r="O86" s="315">
        <f t="shared" si="63"/>
        <v>0</v>
      </c>
      <c r="P86" s="315" t="e">
        <f t="shared" si="64"/>
        <v>#N/A</v>
      </c>
      <c r="Q86" s="315">
        <f t="shared" si="65"/>
        <v>0</v>
      </c>
      <c r="R86" s="315">
        <f t="shared" si="66"/>
        <v>0</v>
      </c>
      <c r="S86" s="315">
        <f t="shared" si="67"/>
        <v>0</v>
      </c>
      <c r="T86" s="315">
        <f t="shared" si="68"/>
        <v>0</v>
      </c>
      <c r="U86" s="315">
        <f t="shared" si="69"/>
        <v>0</v>
      </c>
      <c r="V86" s="315">
        <f t="shared" si="70"/>
        <v>0</v>
      </c>
      <c r="W86" s="313" t="s">
        <v>2637</v>
      </c>
      <c r="X86" s="313"/>
      <c r="Y86" s="313"/>
      <c r="Z86" s="313"/>
      <c r="AA86" s="313"/>
      <c r="AB86" s="313"/>
      <c r="AC86" s="313"/>
      <c r="AD86" s="315" t="b">
        <f t="shared" si="74"/>
        <v>0</v>
      </c>
      <c r="AE86" s="315" t="b">
        <f t="shared" si="71"/>
        <v>0</v>
      </c>
      <c r="AF86" s="313"/>
      <c r="AG86" s="313"/>
      <c r="AH86" s="313"/>
      <c r="AI86" s="313"/>
      <c r="AJ86" s="313"/>
      <c r="AK86" s="313"/>
      <c r="AL86" s="313"/>
      <c r="AM86" s="313"/>
      <c r="AN86" s="313"/>
      <c r="AO86" s="313"/>
      <c r="AP86" s="313"/>
      <c r="AQ86" s="313"/>
      <c r="AR86" s="313"/>
      <c r="AS86" s="313"/>
      <c r="AT86" s="313"/>
      <c r="AU86" s="313"/>
      <c r="AV86" s="313"/>
      <c r="AX86" s="315">
        <f t="shared" si="72"/>
        <v>0</v>
      </c>
      <c r="AY86" s="315">
        <f t="shared" si="73"/>
        <v>0</v>
      </c>
      <c r="AZ86" s="313" t="s">
        <v>643</v>
      </c>
      <c r="BA86" s="313" t="s">
        <v>636</v>
      </c>
      <c r="BB86" s="313" t="s">
        <v>642</v>
      </c>
      <c r="BC86" s="313" t="s">
        <v>495</v>
      </c>
      <c r="BE86" s="313"/>
      <c r="BG86" s="313"/>
      <c r="BH86" s="313"/>
      <c r="BI86" s="313"/>
      <c r="BJ86" s="313"/>
      <c r="BK86" s="313"/>
      <c r="BL86" s="313"/>
      <c r="BM86" s="313"/>
      <c r="BN86" s="313"/>
      <c r="BO86" s="313"/>
      <c r="BP86" s="313"/>
    </row>
    <row r="87" spans="1:68">
      <c r="A87" s="313" t="s">
        <v>645</v>
      </c>
      <c r="B87" s="315">
        <f t="shared" si="60"/>
        <v>0</v>
      </c>
      <c r="C87" s="313" t="str">
        <f t="shared" si="61"/>
        <v>No stats</v>
      </c>
      <c r="D87" s="313">
        <f t="shared" si="62"/>
        <v>0</v>
      </c>
      <c r="E87" s="315">
        <v>0</v>
      </c>
      <c r="F87" s="315">
        <v>0</v>
      </c>
      <c r="G87" s="315">
        <v>0</v>
      </c>
      <c r="H87" s="315">
        <v>0</v>
      </c>
      <c r="I87" s="315">
        <v>0</v>
      </c>
      <c r="J87" s="315">
        <v>0</v>
      </c>
      <c r="K87" s="315">
        <v>0</v>
      </c>
      <c r="L87" s="315">
        <v>0</v>
      </c>
      <c r="M87" s="315">
        <v>15</v>
      </c>
      <c r="N87" s="315">
        <v>0</v>
      </c>
      <c r="O87" s="315">
        <f t="shared" si="63"/>
        <v>0</v>
      </c>
      <c r="P87" s="315" t="e">
        <f t="shared" si="64"/>
        <v>#N/A</v>
      </c>
      <c r="Q87" s="315">
        <f t="shared" si="65"/>
        <v>0</v>
      </c>
      <c r="R87" s="315">
        <f t="shared" si="66"/>
        <v>0</v>
      </c>
      <c r="S87" s="315">
        <f t="shared" si="67"/>
        <v>0</v>
      </c>
      <c r="T87" s="315">
        <f t="shared" si="68"/>
        <v>0</v>
      </c>
      <c r="U87" s="315">
        <f t="shared" si="69"/>
        <v>0</v>
      </c>
      <c r="V87" s="315">
        <f t="shared" si="70"/>
        <v>0</v>
      </c>
      <c r="W87" s="313" t="s">
        <v>2638</v>
      </c>
      <c r="X87" s="313"/>
      <c r="Y87" s="313"/>
      <c r="Z87" s="313"/>
      <c r="AA87" s="313"/>
      <c r="AB87" s="313"/>
      <c r="AC87" s="313"/>
      <c r="AD87" s="315" t="b">
        <f t="shared" si="74"/>
        <v>0</v>
      </c>
      <c r="AE87" s="315" t="b">
        <f t="shared" si="71"/>
        <v>0</v>
      </c>
      <c r="AF87" s="313"/>
      <c r="AG87" s="313"/>
      <c r="AH87" s="313"/>
      <c r="AI87" s="313"/>
      <c r="AJ87" s="313"/>
      <c r="AK87" s="313"/>
      <c r="AL87" s="313"/>
      <c r="AM87" s="313"/>
      <c r="AN87" s="313"/>
      <c r="AO87" s="313"/>
      <c r="AP87" s="313"/>
      <c r="AQ87" s="313"/>
      <c r="AR87" s="313"/>
      <c r="AS87" s="313"/>
      <c r="AT87" s="313"/>
      <c r="AU87" s="313"/>
      <c r="AV87" s="313"/>
      <c r="AX87" s="315">
        <f t="shared" si="72"/>
        <v>0</v>
      </c>
      <c r="AY87" s="315">
        <f t="shared" si="73"/>
        <v>0</v>
      </c>
      <c r="AZ87" s="313" t="s">
        <v>643</v>
      </c>
      <c r="BA87" s="313" t="s">
        <v>637</v>
      </c>
      <c r="BB87" s="313" t="s">
        <v>645</v>
      </c>
      <c r="BC87" s="313" t="s">
        <v>495</v>
      </c>
      <c r="BE87" s="313"/>
      <c r="BG87" s="313"/>
      <c r="BH87" s="313"/>
      <c r="BI87" s="313"/>
      <c r="BJ87" s="313"/>
      <c r="BK87" s="313"/>
      <c r="BL87" s="313"/>
      <c r="BM87" s="313"/>
      <c r="BN87" s="313"/>
      <c r="BO87" s="313"/>
      <c r="BP87" s="313"/>
    </row>
    <row r="88" spans="1:68">
      <c r="A88" s="313" t="s">
        <v>2183</v>
      </c>
      <c r="B88" s="315" t="str">
        <f t="shared" ref="B88:B115" si="75">BD88</f>
        <v>5D6</v>
      </c>
      <c r="C88" s="313" t="str">
        <f t="shared" ref="C88:C115" si="76">BC88</f>
        <v>Carnivore</v>
      </c>
      <c r="D88" s="313" t="str">
        <f t="shared" ref="D88:D115" si="77">BE88</f>
        <v>Aggressive</v>
      </c>
      <c r="E88" s="315">
        <v>0</v>
      </c>
      <c r="F88" s="315">
        <v>0</v>
      </c>
      <c r="G88" s="315">
        <v>0</v>
      </c>
      <c r="H88" s="315">
        <v>0</v>
      </c>
      <c r="I88" s="315">
        <v>0</v>
      </c>
      <c r="J88" s="315">
        <v>0</v>
      </c>
      <c r="K88" s="315">
        <v>0</v>
      </c>
      <c r="L88" s="315">
        <v>0</v>
      </c>
      <c r="M88" s="315">
        <v>15</v>
      </c>
      <c r="N88" s="315">
        <v>0</v>
      </c>
      <c r="O88" s="315">
        <f t="shared" ref="O88:O115" si="78">BF88</f>
        <v>2</v>
      </c>
      <c r="P88" s="315">
        <f t="shared" ref="P88:P115" si="79">LOOKUP(BH88,$BU$54:$BU$71,$BS$54:$BS$71)</f>
        <v>-3</v>
      </c>
      <c r="Q88" s="315" t="str">
        <f t="shared" ref="Q88:Q115" si="80">BJ88</f>
        <v>Light Hide</v>
      </c>
      <c r="R88" s="315" t="str">
        <f t="shared" ref="R88:R115" si="81">Q88</f>
        <v>Light Hide</v>
      </c>
      <c r="S88" s="315" t="str">
        <f t="shared" ref="S88:S115" si="82">Q88</f>
        <v>Light Hide</v>
      </c>
      <c r="T88" s="315" t="str">
        <f t="shared" ref="T88:T115" si="83">Q88</f>
        <v>Light Hide</v>
      </c>
      <c r="U88" s="315" t="str">
        <f t="shared" ref="U88:U115" si="84">Q88</f>
        <v>Light Hide</v>
      </c>
      <c r="V88" s="315" t="str">
        <f t="shared" ref="V88:V115" si="85">Q88</f>
        <v>Light Hide</v>
      </c>
      <c r="W88" s="313" t="s">
        <v>2636</v>
      </c>
      <c r="X88" s="313" t="s">
        <v>2543</v>
      </c>
      <c r="Y88" s="313" t="s">
        <v>2543</v>
      </c>
      <c r="Z88" s="313" t="s">
        <v>2590</v>
      </c>
      <c r="AA88" s="313"/>
      <c r="AB88" s="313"/>
      <c r="AC88" s="313"/>
      <c r="AD88" s="315">
        <f t="shared" si="74"/>
        <v>10</v>
      </c>
      <c r="AE88" s="315">
        <f t="shared" ref="AE88:AE115" si="86">AD88</f>
        <v>10</v>
      </c>
      <c r="AF88" s="313"/>
      <c r="AG88" s="313"/>
      <c r="AH88" s="313"/>
      <c r="AI88" s="313"/>
      <c r="AJ88" s="313"/>
      <c r="AK88" s="313"/>
      <c r="AL88" s="313"/>
      <c r="AM88" s="313"/>
      <c r="AN88" s="313"/>
      <c r="AO88" s="313"/>
      <c r="AP88" s="313"/>
      <c r="AQ88" s="313"/>
      <c r="AR88" s="313"/>
      <c r="AS88" s="313"/>
      <c r="AT88" s="313"/>
      <c r="AU88" s="313"/>
      <c r="AV88" s="313"/>
      <c r="AX88" s="315">
        <f t="shared" ref="AX88:AX115" si="87">BI88</f>
        <v>70</v>
      </c>
      <c r="AY88" s="315">
        <f t="shared" ref="AY88:AY115" si="88">BP88</f>
        <v>0</v>
      </c>
      <c r="AZ88" s="313" t="s">
        <v>2184</v>
      </c>
      <c r="BA88" s="313" t="s">
        <v>2185</v>
      </c>
      <c r="BB88" s="313" t="s">
        <v>2183</v>
      </c>
      <c r="BC88" s="313" t="s">
        <v>2639</v>
      </c>
      <c r="BD88" s="315" t="s">
        <v>2640</v>
      </c>
      <c r="BE88" s="313" t="s">
        <v>2592</v>
      </c>
      <c r="BF88" s="315">
        <v>2</v>
      </c>
      <c r="BG88" s="313" t="s">
        <v>2548</v>
      </c>
      <c r="BH88" s="313">
        <v>40</v>
      </c>
      <c r="BI88" s="313">
        <v>70</v>
      </c>
      <c r="BJ88" s="313" t="s">
        <v>2641</v>
      </c>
      <c r="BK88" s="313">
        <v>0</v>
      </c>
      <c r="BL88" s="313">
        <v>4</v>
      </c>
      <c r="BM88" s="313">
        <v>8</v>
      </c>
      <c r="BN88" s="313">
        <v>1</v>
      </c>
      <c r="BO88" s="313">
        <v>0</v>
      </c>
      <c r="BP88" s="313"/>
    </row>
    <row r="89" spans="1:68">
      <c r="A89" s="313" t="s">
        <v>867</v>
      </c>
      <c r="B89" s="315" t="str">
        <f t="shared" si="75"/>
        <v>1D3</v>
      </c>
      <c r="C89" s="313" t="str">
        <f t="shared" si="76"/>
        <v>Carnivore</v>
      </c>
      <c r="D89" s="313" t="str">
        <f t="shared" si="77"/>
        <v>Aggressive</v>
      </c>
      <c r="E89" s="315">
        <v>0</v>
      </c>
      <c r="F89" s="315">
        <v>0</v>
      </c>
      <c r="G89" s="315">
        <v>0</v>
      </c>
      <c r="H89" s="315">
        <v>0</v>
      </c>
      <c r="I89" s="315">
        <v>0</v>
      </c>
      <c r="J89" s="315">
        <v>0</v>
      </c>
      <c r="K89" s="315">
        <v>0</v>
      </c>
      <c r="L89" s="315">
        <v>0</v>
      </c>
      <c r="M89" s="315">
        <v>15</v>
      </c>
      <c r="N89" s="315">
        <v>0</v>
      </c>
      <c r="O89" s="315">
        <f t="shared" si="78"/>
        <v>2</v>
      </c>
      <c r="P89" s="315">
        <f t="shared" si="79"/>
        <v>-3</v>
      </c>
      <c r="Q89" s="315" t="str">
        <f t="shared" si="80"/>
        <v>Light Hide</v>
      </c>
      <c r="R89" s="315" t="str">
        <f t="shared" si="81"/>
        <v>Light Hide</v>
      </c>
      <c r="S89" s="315" t="str">
        <f t="shared" si="82"/>
        <v>Light Hide</v>
      </c>
      <c r="T89" s="315" t="str">
        <f t="shared" si="83"/>
        <v>Light Hide</v>
      </c>
      <c r="U89" s="315" t="str">
        <f t="shared" si="84"/>
        <v>Light Hide</v>
      </c>
      <c r="V89" s="315" t="str">
        <f t="shared" si="85"/>
        <v>Light Hide</v>
      </c>
      <c r="W89" s="313" t="s">
        <v>415</v>
      </c>
      <c r="X89" s="313" t="s">
        <v>455</v>
      </c>
      <c r="Y89" s="313" t="s">
        <v>456</v>
      </c>
      <c r="Z89" s="313"/>
      <c r="AA89" s="313"/>
      <c r="AB89" s="313"/>
      <c r="AC89" s="313"/>
      <c r="AD89" s="315">
        <f t="shared" si="74"/>
        <v>10</v>
      </c>
      <c r="AE89" s="315">
        <f t="shared" si="86"/>
        <v>10</v>
      </c>
      <c r="AF89" s="313"/>
      <c r="AG89" s="313"/>
      <c r="AH89" s="313"/>
      <c r="AI89" s="313"/>
      <c r="AJ89" s="313"/>
      <c r="AK89" s="313"/>
      <c r="AL89" s="313"/>
      <c r="AM89" s="313"/>
      <c r="AN89" s="313" t="s">
        <v>458</v>
      </c>
      <c r="AO89" s="313">
        <v>5</v>
      </c>
      <c r="AP89" s="313"/>
      <c r="AQ89" s="313"/>
      <c r="AR89" s="313"/>
      <c r="AS89" s="313"/>
      <c r="AT89" s="313"/>
      <c r="AU89" s="313"/>
      <c r="AV89" s="313"/>
      <c r="AX89" s="315">
        <f t="shared" si="87"/>
        <v>30</v>
      </c>
      <c r="AY89" s="315">
        <f t="shared" si="88"/>
        <v>0</v>
      </c>
      <c r="AZ89" s="313" t="s">
        <v>865</v>
      </c>
      <c r="BA89" s="313" t="s">
        <v>866</v>
      </c>
      <c r="BB89" s="313" t="s">
        <v>867</v>
      </c>
      <c r="BC89" s="313" t="s">
        <v>497</v>
      </c>
      <c r="BD89" s="315" t="s">
        <v>499</v>
      </c>
      <c r="BE89" s="313" t="s">
        <v>500</v>
      </c>
      <c r="BF89" s="315">
        <v>2</v>
      </c>
      <c r="BG89" s="313" t="s">
        <v>504</v>
      </c>
      <c r="BH89" s="313">
        <v>20</v>
      </c>
      <c r="BI89" s="313">
        <v>30</v>
      </c>
      <c r="BJ89" s="313" t="s">
        <v>506</v>
      </c>
      <c r="BK89" s="313">
        <v>0</v>
      </c>
      <c r="BL89" s="313">
        <v>1</v>
      </c>
      <c r="BM89" s="313">
        <v>8</v>
      </c>
      <c r="BN89" s="313">
        <v>2</v>
      </c>
      <c r="BO89" s="313">
        <v>0</v>
      </c>
      <c r="BP89" s="313"/>
    </row>
    <row r="90" spans="1:68">
      <c r="A90" s="313" t="s">
        <v>869</v>
      </c>
      <c r="B90" s="315" t="str">
        <f t="shared" si="75"/>
        <v>6D6 X 10</v>
      </c>
      <c r="C90" s="313" t="str">
        <f t="shared" si="76"/>
        <v>Herbivore</v>
      </c>
      <c r="D90" s="313" t="str">
        <f t="shared" si="77"/>
        <v>Non-threatening</v>
      </c>
      <c r="E90" s="315">
        <v>0</v>
      </c>
      <c r="F90" s="315">
        <v>0</v>
      </c>
      <c r="G90" s="315">
        <v>1</v>
      </c>
      <c r="H90" s="315">
        <v>0</v>
      </c>
      <c r="I90" s="315">
        <v>0</v>
      </c>
      <c r="J90" s="315">
        <v>0</v>
      </c>
      <c r="K90" s="315">
        <v>0</v>
      </c>
      <c r="L90" s="315">
        <v>0</v>
      </c>
      <c r="M90" s="315">
        <v>15</v>
      </c>
      <c r="N90" s="315">
        <v>0</v>
      </c>
      <c r="O90" s="315">
        <f t="shared" si="78"/>
        <v>1</v>
      </c>
      <c r="P90" s="315">
        <f t="shared" si="79"/>
        <v>-5</v>
      </c>
      <c r="Q90" s="315" t="str">
        <f t="shared" si="80"/>
        <v>Natural Armor Hide</v>
      </c>
      <c r="R90" s="315" t="str">
        <f t="shared" si="81"/>
        <v>Natural Armor Hide</v>
      </c>
      <c r="S90" s="315" t="str">
        <f t="shared" si="82"/>
        <v>Natural Armor Hide</v>
      </c>
      <c r="T90" s="315" t="str">
        <f t="shared" si="83"/>
        <v>Natural Armor Hide</v>
      </c>
      <c r="U90" s="315" t="str">
        <f t="shared" si="84"/>
        <v>Natural Armor Hide</v>
      </c>
      <c r="V90" s="315" t="str">
        <f t="shared" si="85"/>
        <v>Natural Armor Hide</v>
      </c>
      <c r="W90" s="313" t="s">
        <v>416</v>
      </c>
      <c r="X90" s="313" t="s">
        <v>454</v>
      </c>
      <c r="Y90" s="313"/>
      <c r="Z90" s="313"/>
      <c r="AA90" s="313"/>
      <c r="AB90" s="313"/>
      <c r="AC90" s="313"/>
      <c r="AD90" s="315">
        <f t="shared" si="74"/>
        <v>5</v>
      </c>
      <c r="AE90" s="315">
        <f t="shared" si="86"/>
        <v>5</v>
      </c>
      <c r="AF90" s="313"/>
      <c r="AG90" s="313"/>
      <c r="AH90" s="313"/>
      <c r="AI90" s="313"/>
      <c r="AJ90" s="313"/>
      <c r="AK90" s="313"/>
      <c r="AL90" s="313"/>
      <c r="AM90" s="313"/>
      <c r="AN90" s="313" t="s">
        <v>458</v>
      </c>
      <c r="AO90" s="313">
        <v>6</v>
      </c>
      <c r="AP90" s="313"/>
      <c r="AQ90" s="313"/>
      <c r="AR90" s="313"/>
      <c r="AS90" s="313"/>
      <c r="AT90" s="313"/>
      <c r="AU90" s="313"/>
      <c r="AV90" s="313"/>
      <c r="AX90" s="315">
        <f t="shared" si="87"/>
        <v>50</v>
      </c>
      <c r="AY90" s="315">
        <f t="shared" si="88"/>
        <v>0</v>
      </c>
      <c r="AZ90" s="313" t="s">
        <v>865</v>
      </c>
      <c r="BA90" s="313" t="s">
        <v>866</v>
      </c>
      <c r="BB90" s="313" t="s">
        <v>869</v>
      </c>
      <c r="BC90" s="313" t="s">
        <v>496</v>
      </c>
      <c r="BD90" s="315" t="s">
        <v>498</v>
      </c>
      <c r="BE90" s="313" t="s">
        <v>501</v>
      </c>
      <c r="BF90" s="315">
        <v>1</v>
      </c>
      <c r="BG90" s="313" t="s">
        <v>503</v>
      </c>
      <c r="BH90" s="313">
        <v>10</v>
      </c>
      <c r="BI90" s="313">
        <v>50</v>
      </c>
      <c r="BJ90" s="313" t="s">
        <v>507</v>
      </c>
      <c r="BK90" s="313">
        <v>0</v>
      </c>
      <c r="BL90" s="313">
        <v>1</v>
      </c>
      <c r="BM90" s="313">
        <v>3</v>
      </c>
      <c r="BN90" s="313">
        <v>1</v>
      </c>
      <c r="BO90" s="313">
        <v>0</v>
      </c>
      <c r="BP90" s="313"/>
    </row>
    <row r="91" spans="1:68">
      <c r="A91" s="313" t="s">
        <v>868</v>
      </c>
      <c r="B91" s="315" t="str">
        <f t="shared" si="75"/>
        <v>1D6</v>
      </c>
      <c r="C91" s="313" t="str">
        <f t="shared" si="76"/>
        <v>Carnivore</v>
      </c>
      <c r="D91" s="313" t="str">
        <f t="shared" si="77"/>
        <v>Aggressive</v>
      </c>
      <c r="E91" s="315">
        <v>0</v>
      </c>
      <c r="F91" s="315">
        <v>0</v>
      </c>
      <c r="G91" s="315">
        <v>0</v>
      </c>
      <c r="H91" s="315">
        <v>3</v>
      </c>
      <c r="I91" s="315">
        <v>0</v>
      </c>
      <c r="J91" s="315">
        <v>0</v>
      </c>
      <c r="K91" s="315">
        <v>0</v>
      </c>
      <c r="L91" s="315">
        <v>0</v>
      </c>
      <c r="M91" s="315">
        <v>15</v>
      </c>
      <c r="N91" s="315">
        <v>0</v>
      </c>
      <c r="O91" s="315">
        <f t="shared" si="78"/>
        <v>5</v>
      </c>
      <c r="P91" s="315">
        <f t="shared" si="79"/>
        <v>-3</v>
      </c>
      <c r="Q91" s="315" t="str">
        <f t="shared" si="80"/>
        <v>Exoskeleton</v>
      </c>
      <c r="R91" s="315" t="str">
        <f t="shared" si="81"/>
        <v>Exoskeleton</v>
      </c>
      <c r="S91" s="315" t="str">
        <f t="shared" si="82"/>
        <v>Exoskeleton</v>
      </c>
      <c r="T91" s="315" t="str">
        <f t="shared" si="83"/>
        <v>Exoskeleton</v>
      </c>
      <c r="U91" s="315" t="str">
        <f t="shared" si="84"/>
        <v>Exoskeleton</v>
      </c>
      <c r="V91" s="315" t="str">
        <f t="shared" si="85"/>
        <v>Exoskeleton</v>
      </c>
      <c r="W91" s="313" t="s">
        <v>453</v>
      </c>
      <c r="X91" s="313" t="s">
        <v>454</v>
      </c>
      <c r="Y91" s="313" t="s">
        <v>457</v>
      </c>
      <c r="Z91" s="313" t="s">
        <v>457</v>
      </c>
      <c r="AA91" s="313"/>
      <c r="AB91" s="313"/>
      <c r="AC91" s="313"/>
      <c r="AD91" s="315">
        <f t="shared" si="74"/>
        <v>10</v>
      </c>
      <c r="AE91" s="315">
        <f t="shared" si="86"/>
        <v>10</v>
      </c>
      <c r="AF91" s="313"/>
      <c r="AG91" s="313"/>
      <c r="AH91" s="313"/>
      <c r="AI91" s="313"/>
      <c r="AJ91" s="313"/>
      <c r="AK91" s="313"/>
      <c r="AL91" s="313"/>
      <c r="AM91" s="313"/>
      <c r="AN91" s="313" t="s">
        <v>458</v>
      </c>
      <c r="AO91" s="313">
        <v>7</v>
      </c>
      <c r="AP91" s="313"/>
      <c r="AQ91" s="313"/>
      <c r="AR91" s="313"/>
      <c r="AS91" s="313"/>
      <c r="AT91" s="313"/>
      <c r="AU91" s="313"/>
      <c r="AV91" s="313"/>
      <c r="AX91" s="315">
        <f t="shared" si="87"/>
        <v>100</v>
      </c>
      <c r="AY91" s="315">
        <f t="shared" si="88"/>
        <v>0</v>
      </c>
      <c r="AZ91" s="313" t="s">
        <v>865</v>
      </c>
      <c r="BA91" s="313" t="s">
        <v>866</v>
      </c>
      <c r="BB91" s="313" t="s">
        <v>868</v>
      </c>
      <c r="BC91" s="313" t="s">
        <v>497</v>
      </c>
      <c r="BD91" s="315" t="s">
        <v>502</v>
      </c>
      <c r="BE91" s="313" t="s">
        <v>500</v>
      </c>
      <c r="BF91" s="315">
        <v>5</v>
      </c>
      <c r="BG91" s="313" t="s">
        <v>505</v>
      </c>
      <c r="BH91" s="313">
        <v>30</v>
      </c>
      <c r="BI91" s="313">
        <v>100</v>
      </c>
      <c r="BJ91" s="7" t="s">
        <v>1511</v>
      </c>
      <c r="BK91" s="313">
        <v>0</v>
      </c>
      <c r="BL91" s="313">
        <v>2</v>
      </c>
      <c r="BM91" s="313">
        <v>5</v>
      </c>
      <c r="BN91" s="313">
        <v>3</v>
      </c>
      <c r="BO91" s="313">
        <v>0</v>
      </c>
      <c r="BP91" s="313"/>
    </row>
    <row r="92" spans="1:68">
      <c r="A92" s="313" t="s">
        <v>743</v>
      </c>
      <c r="B92" s="315">
        <f t="shared" si="75"/>
        <v>1</v>
      </c>
      <c r="C92" s="313" t="str">
        <f t="shared" si="76"/>
        <v>Carnivore</v>
      </c>
      <c r="D92" s="313" t="str">
        <f t="shared" si="77"/>
        <v>Aggressive</v>
      </c>
      <c r="E92" s="315">
        <v>4</v>
      </c>
      <c r="F92" s="315">
        <v>0</v>
      </c>
      <c r="G92" s="315">
        <v>6</v>
      </c>
      <c r="H92" s="315">
        <v>5</v>
      </c>
      <c r="I92" s="315">
        <v>0</v>
      </c>
      <c r="J92" s="315">
        <v>0</v>
      </c>
      <c r="K92" s="315">
        <v>0</v>
      </c>
      <c r="L92" s="315">
        <v>0</v>
      </c>
      <c r="M92" s="315">
        <v>15</v>
      </c>
      <c r="N92" s="315">
        <v>0</v>
      </c>
      <c r="O92" s="315">
        <f t="shared" si="78"/>
        <v>5</v>
      </c>
      <c r="P92" s="315">
        <f t="shared" si="79"/>
        <v>-3</v>
      </c>
      <c r="Q92" s="315" t="str">
        <f t="shared" si="80"/>
        <v>Exoskeleton</v>
      </c>
      <c r="R92" s="315" t="str">
        <f t="shared" si="81"/>
        <v>Exoskeleton</v>
      </c>
      <c r="S92" s="315" t="str">
        <f t="shared" si="82"/>
        <v>Exoskeleton</v>
      </c>
      <c r="T92" s="315" t="str">
        <f t="shared" si="83"/>
        <v>Exoskeleton</v>
      </c>
      <c r="U92" s="315" t="str">
        <f t="shared" si="84"/>
        <v>Exoskeleton</v>
      </c>
      <c r="V92" s="315" t="str">
        <f t="shared" si="85"/>
        <v>Exoskeleton</v>
      </c>
      <c r="W92" s="313" t="s">
        <v>462</v>
      </c>
      <c r="X92" s="313" t="s">
        <v>454</v>
      </c>
      <c r="Y92" s="313"/>
      <c r="Z92" s="313"/>
      <c r="AA92" s="313"/>
      <c r="AB92" s="313"/>
      <c r="AC92" s="313"/>
      <c r="AD92" s="315">
        <f t="shared" si="74"/>
        <v>10</v>
      </c>
      <c r="AE92" s="315">
        <f t="shared" si="86"/>
        <v>10</v>
      </c>
      <c r="AF92" s="313"/>
      <c r="AG92" s="313"/>
      <c r="AH92" s="313"/>
      <c r="AI92" s="313"/>
      <c r="AJ92" s="313"/>
      <c r="AK92" s="313"/>
      <c r="AL92" s="313"/>
      <c r="AM92" s="313"/>
      <c r="AN92" s="313" t="s">
        <v>458</v>
      </c>
      <c r="AO92" s="313">
        <v>6</v>
      </c>
      <c r="AP92" s="313"/>
      <c r="AQ92" s="313"/>
      <c r="AR92" s="313"/>
      <c r="AS92" s="313"/>
      <c r="AT92" s="313"/>
      <c r="AU92" s="313"/>
      <c r="AV92" s="313"/>
      <c r="AX92" s="315">
        <f t="shared" si="87"/>
        <v>120</v>
      </c>
      <c r="AY92" s="315">
        <f t="shared" si="88"/>
        <v>0</v>
      </c>
      <c r="AZ92" s="313" t="s">
        <v>865</v>
      </c>
      <c r="BA92" s="313" t="s">
        <v>872</v>
      </c>
      <c r="BB92" s="313" t="s">
        <v>743</v>
      </c>
      <c r="BC92" s="313" t="s">
        <v>497</v>
      </c>
      <c r="BD92" s="315">
        <v>1</v>
      </c>
      <c r="BE92" s="313" t="s">
        <v>500</v>
      </c>
      <c r="BF92" s="315">
        <v>5</v>
      </c>
      <c r="BG92" s="313" t="s">
        <v>505</v>
      </c>
      <c r="BH92" s="313">
        <v>30</v>
      </c>
      <c r="BI92" s="313">
        <v>120</v>
      </c>
      <c r="BJ92" s="313" t="s">
        <v>461</v>
      </c>
      <c r="BK92" s="313">
        <v>0</v>
      </c>
      <c r="BL92" s="313">
        <v>1</v>
      </c>
      <c r="BM92" s="313">
        <v>4</v>
      </c>
      <c r="BN92" s="313">
        <v>4</v>
      </c>
      <c r="BO92" s="313">
        <v>0</v>
      </c>
      <c r="BP92" s="313"/>
    </row>
    <row r="93" spans="1:68">
      <c r="A93" s="313" t="s">
        <v>744</v>
      </c>
      <c r="B93" s="315" t="str">
        <f t="shared" si="75"/>
        <v>1D6</v>
      </c>
      <c r="C93" s="313" t="str">
        <f t="shared" si="76"/>
        <v>Omnivore</v>
      </c>
      <c r="D93" s="313" t="str">
        <f t="shared" si="77"/>
        <v>Aggressive</v>
      </c>
      <c r="E93" s="315">
        <v>0</v>
      </c>
      <c r="F93" s="315">
        <v>0</v>
      </c>
      <c r="G93" s="315">
        <v>0</v>
      </c>
      <c r="H93" s="315">
        <v>0</v>
      </c>
      <c r="I93" s="315">
        <v>0</v>
      </c>
      <c r="J93" s="315">
        <v>0</v>
      </c>
      <c r="K93" s="315">
        <v>0</v>
      </c>
      <c r="L93" s="315">
        <v>0</v>
      </c>
      <c r="M93" s="315">
        <v>15</v>
      </c>
      <c r="N93" s="315">
        <v>0</v>
      </c>
      <c r="O93" s="315">
        <f t="shared" si="78"/>
        <v>5</v>
      </c>
      <c r="P93" s="315">
        <f t="shared" si="79"/>
        <v>-8</v>
      </c>
      <c r="Q93" s="315" t="str">
        <f t="shared" si="80"/>
        <v>Natural Armor Hide</v>
      </c>
      <c r="R93" s="315" t="str">
        <f t="shared" si="81"/>
        <v>Natural Armor Hide</v>
      </c>
      <c r="S93" s="315" t="str">
        <f t="shared" si="82"/>
        <v>Natural Armor Hide</v>
      </c>
      <c r="T93" s="315" t="str">
        <f t="shared" si="83"/>
        <v>Natural Armor Hide</v>
      </c>
      <c r="U93" s="315" t="str">
        <f t="shared" si="84"/>
        <v>Natural Armor Hide</v>
      </c>
      <c r="V93" s="315" t="str">
        <f t="shared" si="85"/>
        <v>Natural Armor Hide</v>
      </c>
      <c r="W93" s="313" t="s">
        <v>463</v>
      </c>
      <c r="X93" s="313" t="s">
        <v>464</v>
      </c>
      <c r="Y93" s="313"/>
      <c r="Z93" s="313"/>
      <c r="AA93" s="313"/>
      <c r="AB93" s="313"/>
      <c r="AC93" s="313"/>
      <c r="AD93" s="315">
        <f t="shared" si="74"/>
        <v>10</v>
      </c>
      <c r="AE93" s="315">
        <f t="shared" si="86"/>
        <v>10</v>
      </c>
      <c r="AF93" s="313"/>
      <c r="AG93" s="313"/>
      <c r="AH93" s="313"/>
      <c r="AI93" s="313"/>
      <c r="AJ93" s="313"/>
      <c r="AK93" s="313"/>
      <c r="AL93" s="313"/>
      <c r="AM93" s="313"/>
      <c r="AN93" s="313" t="s">
        <v>458</v>
      </c>
      <c r="AO93" s="313">
        <v>6</v>
      </c>
      <c r="AP93" s="313"/>
      <c r="AQ93" s="313"/>
      <c r="AR93" s="313"/>
      <c r="AS93" s="313"/>
      <c r="AT93" s="313"/>
      <c r="AU93" s="313"/>
      <c r="AV93" s="313"/>
      <c r="AX93" s="315">
        <f t="shared" si="87"/>
        <v>60</v>
      </c>
      <c r="AY93" s="315">
        <f t="shared" si="88"/>
        <v>0</v>
      </c>
      <c r="AZ93" s="313" t="s">
        <v>865</v>
      </c>
      <c r="BA93" s="313" t="s">
        <v>872</v>
      </c>
      <c r="BB93" s="313" t="s">
        <v>744</v>
      </c>
      <c r="BC93" s="313" t="s">
        <v>459</v>
      </c>
      <c r="BD93" s="315" t="s">
        <v>460</v>
      </c>
      <c r="BE93" s="313" t="s">
        <v>500</v>
      </c>
      <c r="BF93" s="315">
        <v>5</v>
      </c>
      <c r="BG93" s="313" t="s">
        <v>505</v>
      </c>
      <c r="BH93" s="313">
        <v>5</v>
      </c>
      <c r="BI93" s="313">
        <v>60</v>
      </c>
      <c r="BJ93" s="313" t="s">
        <v>507</v>
      </c>
      <c r="BK93" s="313">
        <v>0</v>
      </c>
      <c r="BL93" s="313">
        <v>1</v>
      </c>
      <c r="BM93" s="313">
        <v>2</v>
      </c>
      <c r="BN93" s="313">
        <v>1</v>
      </c>
      <c r="BO93" s="313">
        <v>0</v>
      </c>
      <c r="BP93" s="313"/>
    </row>
    <row r="94" spans="1:68">
      <c r="A94" s="313" t="s">
        <v>751</v>
      </c>
      <c r="B94" s="315" t="str">
        <f t="shared" si="75"/>
        <v>1D6</v>
      </c>
      <c r="C94" s="313" t="str">
        <f t="shared" si="76"/>
        <v>Carnivore</v>
      </c>
      <c r="D94" s="313" t="str">
        <f t="shared" si="77"/>
        <v>Aggressive</v>
      </c>
      <c r="E94" s="315">
        <v>0</v>
      </c>
      <c r="F94" s="315">
        <v>0</v>
      </c>
      <c r="G94" s="315">
        <v>6</v>
      </c>
      <c r="H94" s="315">
        <v>0</v>
      </c>
      <c r="I94" s="315">
        <v>0</v>
      </c>
      <c r="J94" s="315">
        <v>0</v>
      </c>
      <c r="K94" s="315">
        <v>0</v>
      </c>
      <c r="L94" s="315">
        <v>0</v>
      </c>
      <c r="M94" s="315">
        <v>15</v>
      </c>
      <c r="N94" s="315">
        <v>0</v>
      </c>
      <c r="O94" s="315">
        <f t="shared" si="78"/>
        <v>5</v>
      </c>
      <c r="P94" s="315">
        <f t="shared" si="79"/>
        <v>-9</v>
      </c>
      <c r="Q94" s="315" t="str">
        <f t="shared" si="80"/>
        <v>Skin</v>
      </c>
      <c r="R94" s="315" t="str">
        <f t="shared" si="81"/>
        <v>Skin</v>
      </c>
      <c r="S94" s="315" t="str">
        <f t="shared" si="82"/>
        <v>Skin</v>
      </c>
      <c r="T94" s="315" t="str">
        <f t="shared" si="83"/>
        <v>Skin</v>
      </c>
      <c r="U94" s="315" t="str">
        <f t="shared" si="84"/>
        <v>Skin</v>
      </c>
      <c r="V94" s="315" t="str">
        <f t="shared" si="85"/>
        <v>Skin</v>
      </c>
      <c r="W94" s="313" t="s">
        <v>473</v>
      </c>
      <c r="X94" s="313" t="s">
        <v>434</v>
      </c>
      <c r="Y94" s="313" t="s">
        <v>434</v>
      </c>
      <c r="Z94" s="313"/>
      <c r="AA94" s="313"/>
      <c r="AB94" s="313"/>
      <c r="AC94" s="313"/>
      <c r="AD94" s="315">
        <f t="shared" si="74"/>
        <v>10</v>
      </c>
      <c r="AE94" s="315">
        <f t="shared" si="86"/>
        <v>10</v>
      </c>
      <c r="AF94" s="313"/>
      <c r="AG94" s="313"/>
      <c r="AH94" s="313"/>
      <c r="AI94" s="313"/>
      <c r="AJ94" s="313"/>
      <c r="AK94" s="313"/>
      <c r="AL94" s="313"/>
      <c r="AM94" s="313"/>
      <c r="AN94" s="313" t="s">
        <v>458</v>
      </c>
      <c r="AO94" s="313">
        <v>5</v>
      </c>
      <c r="AP94" s="313"/>
      <c r="AQ94" s="313"/>
      <c r="AR94" s="313"/>
      <c r="AS94" s="313"/>
      <c r="AT94" s="313"/>
      <c r="AU94" s="313"/>
      <c r="AV94" s="313"/>
      <c r="AX94" s="315">
        <f t="shared" si="87"/>
        <v>5</v>
      </c>
      <c r="AY94" s="315" t="str">
        <f t="shared" si="88"/>
        <v>Yes</v>
      </c>
      <c r="AZ94" s="313" t="s">
        <v>865</v>
      </c>
      <c r="BA94" s="313" t="s">
        <v>754</v>
      </c>
      <c r="BB94" s="313" t="s">
        <v>751</v>
      </c>
      <c r="BC94" s="313" t="s">
        <v>497</v>
      </c>
      <c r="BD94" s="315" t="s">
        <v>467</v>
      </c>
      <c r="BE94" s="313" t="s">
        <v>500</v>
      </c>
      <c r="BF94" s="315">
        <v>5</v>
      </c>
      <c r="BG94" s="313" t="s">
        <v>505</v>
      </c>
      <c r="BH94" s="313">
        <v>1</v>
      </c>
      <c r="BI94" s="313">
        <v>5</v>
      </c>
      <c r="BJ94" s="313" t="s">
        <v>471</v>
      </c>
      <c r="BK94" s="313">
        <v>-2</v>
      </c>
      <c r="BL94" s="313">
        <v>1</v>
      </c>
      <c r="BM94" s="313">
        <v>2</v>
      </c>
      <c r="BN94" s="313">
        <v>1</v>
      </c>
      <c r="BO94" s="313">
        <v>0</v>
      </c>
      <c r="BP94" s="313" t="s">
        <v>438</v>
      </c>
    </row>
    <row r="95" spans="1:68">
      <c r="A95" s="313" t="s">
        <v>873</v>
      </c>
      <c r="B95" s="315" t="str">
        <f t="shared" si="75"/>
        <v>4D6</v>
      </c>
      <c r="C95" s="313" t="str">
        <f t="shared" si="76"/>
        <v>Carnivore</v>
      </c>
      <c r="D95" s="313" t="str">
        <f t="shared" si="77"/>
        <v>Aggressive</v>
      </c>
      <c r="E95" s="315">
        <v>0</v>
      </c>
      <c r="F95" s="315">
        <v>0</v>
      </c>
      <c r="G95" s="315">
        <v>0</v>
      </c>
      <c r="H95" s="315">
        <v>0</v>
      </c>
      <c r="I95" s="315">
        <v>0</v>
      </c>
      <c r="J95" s="315">
        <v>0</v>
      </c>
      <c r="K95" s="315">
        <v>0</v>
      </c>
      <c r="L95" s="315">
        <v>0</v>
      </c>
      <c r="M95" s="315">
        <v>15</v>
      </c>
      <c r="N95" s="315">
        <v>0</v>
      </c>
      <c r="O95" s="315">
        <f t="shared" si="78"/>
        <v>5</v>
      </c>
      <c r="P95" s="315">
        <f t="shared" si="79"/>
        <v>-9</v>
      </c>
      <c r="Q95" s="315" t="str">
        <f t="shared" si="80"/>
        <v>Skin</v>
      </c>
      <c r="R95" s="315" t="str">
        <f t="shared" si="81"/>
        <v>Skin</v>
      </c>
      <c r="S95" s="315" t="str">
        <f t="shared" si="82"/>
        <v>Skin</v>
      </c>
      <c r="T95" s="315" t="str">
        <f t="shared" si="83"/>
        <v>Skin</v>
      </c>
      <c r="U95" s="315" t="str">
        <f t="shared" si="84"/>
        <v>Skin</v>
      </c>
      <c r="V95" s="315" t="str">
        <f t="shared" si="85"/>
        <v>Skin</v>
      </c>
      <c r="W95" s="313" t="s">
        <v>430</v>
      </c>
      <c r="X95" s="313" t="s">
        <v>454</v>
      </c>
      <c r="Y95" s="313"/>
      <c r="Z95" s="313"/>
      <c r="AA95" s="313"/>
      <c r="AB95" s="313"/>
      <c r="AC95" s="313"/>
      <c r="AD95" s="315">
        <f t="shared" si="74"/>
        <v>10</v>
      </c>
      <c r="AE95" s="315">
        <f t="shared" si="86"/>
        <v>10</v>
      </c>
      <c r="AF95" s="313"/>
      <c r="AG95" s="313"/>
      <c r="AH95" s="313"/>
      <c r="AI95" s="313"/>
      <c r="AJ95" s="313"/>
      <c r="AK95" s="313"/>
      <c r="AL95" s="313"/>
      <c r="AM95" s="313"/>
      <c r="AN95" s="313" t="s">
        <v>458</v>
      </c>
      <c r="AO95" s="313">
        <v>5</v>
      </c>
      <c r="AP95" s="313"/>
      <c r="AQ95" s="313"/>
      <c r="AR95" s="313"/>
      <c r="AS95" s="313"/>
      <c r="AT95" s="313"/>
      <c r="AU95" s="313"/>
      <c r="AV95" s="313"/>
      <c r="AX95" s="315">
        <f t="shared" si="87"/>
        <v>5</v>
      </c>
      <c r="AY95" s="315">
        <f t="shared" si="88"/>
        <v>0</v>
      </c>
      <c r="AZ95" s="313" t="s">
        <v>865</v>
      </c>
      <c r="BA95" s="313" t="s">
        <v>754</v>
      </c>
      <c r="BB95" s="313" t="s">
        <v>873</v>
      </c>
      <c r="BC95" s="313" t="s">
        <v>497</v>
      </c>
      <c r="BD95" s="315" t="s">
        <v>465</v>
      </c>
      <c r="BE95" s="313" t="s">
        <v>500</v>
      </c>
      <c r="BF95" s="315">
        <v>5</v>
      </c>
      <c r="BG95" s="313" t="s">
        <v>505</v>
      </c>
      <c r="BH95" s="313">
        <v>1</v>
      </c>
      <c r="BI95" s="313">
        <v>5</v>
      </c>
      <c r="BJ95" s="313" t="s">
        <v>471</v>
      </c>
      <c r="BK95" s="313">
        <v>-2</v>
      </c>
      <c r="BL95" s="313">
        <v>1</v>
      </c>
      <c r="BM95" s="313">
        <v>2</v>
      </c>
      <c r="BN95" s="313">
        <v>1</v>
      </c>
      <c r="BO95" s="313">
        <v>0</v>
      </c>
      <c r="BP95" s="313"/>
    </row>
    <row r="96" spans="1:68">
      <c r="A96" s="313" t="s">
        <v>753</v>
      </c>
      <c r="B96" s="315">
        <f t="shared" si="75"/>
        <v>1</v>
      </c>
      <c r="C96" s="313" t="str">
        <f t="shared" si="76"/>
        <v>Carnivore</v>
      </c>
      <c r="D96" s="313" t="str">
        <f t="shared" si="77"/>
        <v>Ferocious</v>
      </c>
      <c r="E96" s="315">
        <v>6</v>
      </c>
      <c r="F96" s="315">
        <v>0</v>
      </c>
      <c r="G96" s="315">
        <v>10</v>
      </c>
      <c r="H96" s="315">
        <v>1</v>
      </c>
      <c r="I96" s="315">
        <v>0</v>
      </c>
      <c r="J96" s="315">
        <v>0</v>
      </c>
      <c r="K96" s="315">
        <v>0</v>
      </c>
      <c r="L96" s="315">
        <v>0</v>
      </c>
      <c r="M96" s="315">
        <v>15</v>
      </c>
      <c r="N96" s="315">
        <v>0</v>
      </c>
      <c r="O96" s="315">
        <f t="shared" si="78"/>
        <v>10</v>
      </c>
      <c r="P96" s="315">
        <f t="shared" si="79"/>
        <v>2</v>
      </c>
      <c r="Q96" s="315" t="str">
        <f t="shared" si="80"/>
        <v>Exoskeleton</v>
      </c>
      <c r="R96" s="315" t="str">
        <f t="shared" si="81"/>
        <v>Exoskeleton</v>
      </c>
      <c r="S96" s="315" t="str">
        <f t="shared" si="82"/>
        <v>Exoskeleton</v>
      </c>
      <c r="T96" s="315" t="str">
        <f t="shared" si="83"/>
        <v>Exoskeleton</v>
      </c>
      <c r="U96" s="315" t="str">
        <f t="shared" si="84"/>
        <v>Exoskeleton</v>
      </c>
      <c r="V96" s="315" t="str">
        <f t="shared" si="85"/>
        <v>Exoskeleton</v>
      </c>
      <c r="W96" s="313" t="s">
        <v>432</v>
      </c>
      <c r="X96" s="313" t="s">
        <v>454</v>
      </c>
      <c r="Y96" s="313"/>
      <c r="Z96" s="313"/>
      <c r="AA96" s="313"/>
      <c r="AB96" s="313"/>
      <c r="AC96" s="313"/>
      <c r="AD96" s="315">
        <f t="shared" si="74"/>
        <v>15</v>
      </c>
      <c r="AE96" s="315">
        <f t="shared" si="86"/>
        <v>15</v>
      </c>
      <c r="AF96" s="313"/>
      <c r="AG96" s="313"/>
      <c r="AH96" s="313"/>
      <c r="AI96" s="313"/>
      <c r="AJ96" s="313"/>
      <c r="AK96" s="313"/>
      <c r="AL96" s="313"/>
      <c r="AM96" s="313"/>
      <c r="AN96" s="313" t="s">
        <v>458</v>
      </c>
      <c r="AO96" s="313">
        <v>7</v>
      </c>
      <c r="AP96" s="313"/>
      <c r="AQ96" s="313"/>
      <c r="AR96" s="313"/>
      <c r="AS96" s="313"/>
      <c r="AT96" s="313"/>
      <c r="AU96" s="313"/>
      <c r="AV96" s="313"/>
      <c r="AX96" s="315">
        <f t="shared" si="87"/>
        <v>100</v>
      </c>
      <c r="AY96" s="315">
        <f t="shared" si="88"/>
        <v>0</v>
      </c>
      <c r="AZ96" s="313" t="s">
        <v>865</v>
      </c>
      <c r="BA96" s="313" t="s">
        <v>754</v>
      </c>
      <c r="BB96" s="313" t="s">
        <v>753</v>
      </c>
      <c r="BC96" s="313" t="s">
        <v>497</v>
      </c>
      <c r="BD96" s="315">
        <v>1</v>
      </c>
      <c r="BE96" s="313" t="s">
        <v>468</v>
      </c>
      <c r="BF96" s="315">
        <v>10</v>
      </c>
      <c r="BG96" s="313" t="s">
        <v>469</v>
      </c>
      <c r="BH96" s="313">
        <v>200</v>
      </c>
      <c r="BI96" s="313">
        <v>100</v>
      </c>
      <c r="BJ96" s="313" t="s">
        <v>461</v>
      </c>
      <c r="BK96" s="313">
        <v>0</v>
      </c>
      <c r="BL96" s="313">
        <v>5</v>
      </c>
      <c r="BM96" s="313">
        <v>10</v>
      </c>
      <c r="BN96" s="313">
        <v>2</v>
      </c>
      <c r="BO96" s="313">
        <v>0</v>
      </c>
      <c r="BP96" s="313"/>
    </row>
    <row r="97" spans="1:68">
      <c r="A97" s="313" t="s">
        <v>752</v>
      </c>
      <c r="B97" s="315" t="str">
        <f t="shared" si="75"/>
        <v>1D6</v>
      </c>
      <c r="C97" s="313" t="str">
        <f t="shared" si="76"/>
        <v>Carnivore</v>
      </c>
      <c r="D97" s="313" t="str">
        <f t="shared" si="77"/>
        <v>Aggressive</v>
      </c>
      <c r="E97" s="315">
        <v>0</v>
      </c>
      <c r="F97" s="315">
        <v>0</v>
      </c>
      <c r="G97" s="315">
        <v>2</v>
      </c>
      <c r="H97" s="315">
        <v>0</v>
      </c>
      <c r="I97" s="315">
        <v>0</v>
      </c>
      <c r="J97" s="315">
        <v>0</v>
      </c>
      <c r="K97" s="315">
        <v>0</v>
      </c>
      <c r="L97" s="315">
        <v>0</v>
      </c>
      <c r="M97" s="315">
        <v>15</v>
      </c>
      <c r="N97" s="315">
        <v>0</v>
      </c>
      <c r="O97" s="315">
        <f t="shared" si="78"/>
        <v>5</v>
      </c>
      <c r="P97" s="315">
        <f t="shared" si="79"/>
        <v>-8</v>
      </c>
      <c r="Q97" s="315" t="str">
        <f t="shared" si="80"/>
        <v>Exoskeleton</v>
      </c>
      <c r="R97" s="315" t="str">
        <f t="shared" si="81"/>
        <v>Exoskeleton</v>
      </c>
      <c r="S97" s="315" t="str">
        <f t="shared" si="82"/>
        <v>Exoskeleton</v>
      </c>
      <c r="T97" s="315" t="str">
        <f t="shared" si="83"/>
        <v>Exoskeleton</v>
      </c>
      <c r="U97" s="315" t="str">
        <f t="shared" si="84"/>
        <v>Exoskeleton</v>
      </c>
      <c r="V97" s="315" t="str">
        <f t="shared" si="85"/>
        <v>Exoskeleton</v>
      </c>
      <c r="W97" s="313" t="s">
        <v>433</v>
      </c>
      <c r="X97" s="313" t="s">
        <v>435</v>
      </c>
      <c r="Y97" s="313" t="s">
        <v>436</v>
      </c>
      <c r="Z97" s="313"/>
      <c r="AA97" s="313"/>
      <c r="AB97" s="313"/>
      <c r="AC97" s="313"/>
      <c r="AD97" s="315">
        <f t="shared" si="74"/>
        <v>10</v>
      </c>
      <c r="AE97" s="315">
        <f t="shared" si="86"/>
        <v>10</v>
      </c>
      <c r="AF97" s="313"/>
      <c r="AG97" s="313"/>
      <c r="AH97" s="313"/>
      <c r="AI97" s="313"/>
      <c r="AJ97" s="313"/>
      <c r="AK97" s="313"/>
      <c r="AL97" s="313"/>
      <c r="AM97" s="313"/>
      <c r="AN97" s="313" t="s">
        <v>458</v>
      </c>
      <c r="AO97" s="313">
        <v>5</v>
      </c>
      <c r="AP97" s="313"/>
      <c r="AQ97" s="313"/>
      <c r="AR97" s="313"/>
      <c r="AS97" s="313"/>
      <c r="AT97" s="313"/>
      <c r="AU97" s="313"/>
      <c r="AV97" s="313"/>
      <c r="AX97" s="315">
        <f t="shared" si="87"/>
        <v>100</v>
      </c>
      <c r="AY97" s="315">
        <f t="shared" si="88"/>
        <v>0</v>
      </c>
      <c r="AZ97" s="313" t="s">
        <v>865</v>
      </c>
      <c r="BA97" s="313" t="s">
        <v>754</v>
      </c>
      <c r="BB97" s="313" t="s">
        <v>752</v>
      </c>
      <c r="BC97" s="313" t="s">
        <v>497</v>
      </c>
      <c r="BD97" s="315" t="s">
        <v>502</v>
      </c>
      <c r="BE97" s="313" t="s">
        <v>500</v>
      </c>
      <c r="BF97" s="315">
        <v>5</v>
      </c>
      <c r="BG97" s="313" t="s">
        <v>505</v>
      </c>
      <c r="BH97" s="313">
        <v>5</v>
      </c>
      <c r="BI97" s="313">
        <v>100</v>
      </c>
      <c r="BJ97" s="313" t="s">
        <v>461</v>
      </c>
      <c r="BK97" s="313">
        <v>0</v>
      </c>
      <c r="BL97" s="313">
        <v>1</v>
      </c>
      <c r="BM97" s="313">
        <v>2</v>
      </c>
      <c r="BN97" s="313">
        <v>1</v>
      </c>
      <c r="BO97" s="313">
        <v>0</v>
      </c>
      <c r="BP97" s="313"/>
    </row>
    <row r="98" spans="1:68">
      <c r="A98" s="313" t="s">
        <v>874</v>
      </c>
      <c r="B98" s="315" t="str">
        <f t="shared" si="75"/>
        <v>2D6</v>
      </c>
      <c r="C98" s="313" t="str">
        <f t="shared" si="76"/>
        <v>Carnivore</v>
      </c>
      <c r="D98" s="313" t="str">
        <f t="shared" si="77"/>
        <v>Aggressive</v>
      </c>
      <c r="E98" s="315">
        <v>0</v>
      </c>
      <c r="F98" s="315">
        <v>3</v>
      </c>
      <c r="G98" s="315">
        <v>3</v>
      </c>
      <c r="H98" s="315">
        <v>2</v>
      </c>
      <c r="I98" s="315">
        <v>0</v>
      </c>
      <c r="J98" s="315">
        <v>0</v>
      </c>
      <c r="K98" s="315">
        <v>0</v>
      </c>
      <c r="L98" s="315">
        <v>0</v>
      </c>
      <c r="M98" s="315">
        <v>15</v>
      </c>
      <c r="N98" s="315">
        <v>0</v>
      </c>
      <c r="O98" s="315">
        <f t="shared" si="78"/>
        <v>5</v>
      </c>
      <c r="P98" s="315">
        <f t="shared" si="79"/>
        <v>3</v>
      </c>
      <c r="Q98" s="315" t="str">
        <f t="shared" si="80"/>
        <v>Carapace</v>
      </c>
      <c r="R98" s="315" t="str">
        <f t="shared" si="81"/>
        <v>Carapace</v>
      </c>
      <c r="S98" s="315" t="str">
        <f t="shared" si="82"/>
        <v>Carapace</v>
      </c>
      <c r="T98" s="315" t="str">
        <f t="shared" si="83"/>
        <v>Carapace</v>
      </c>
      <c r="U98" s="315" t="str">
        <f t="shared" si="84"/>
        <v>Carapace</v>
      </c>
      <c r="V98" s="315" t="str">
        <f t="shared" si="85"/>
        <v>Carapace</v>
      </c>
      <c r="W98" s="313" t="s">
        <v>431</v>
      </c>
      <c r="X98" s="313" t="s">
        <v>454</v>
      </c>
      <c r="Y98" s="313"/>
      <c r="Z98" s="313"/>
      <c r="AA98" s="313"/>
      <c r="AB98" s="313"/>
      <c r="AC98" s="313"/>
      <c r="AD98" s="315">
        <f t="shared" si="74"/>
        <v>10</v>
      </c>
      <c r="AE98" s="315">
        <f t="shared" si="86"/>
        <v>10</v>
      </c>
      <c r="AF98" s="313"/>
      <c r="AG98" s="313"/>
      <c r="AH98" s="313"/>
      <c r="AI98" s="313"/>
      <c r="AJ98" s="313"/>
      <c r="AK98" s="313"/>
      <c r="AL98" s="313"/>
      <c r="AM98" s="313"/>
      <c r="AN98" s="313" t="s">
        <v>458</v>
      </c>
      <c r="AO98" s="313">
        <v>6</v>
      </c>
      <c r="AP98" s="313"/>
      <c r="AQ98" s="313"/>
      <c r="AR98" s="313"/>
      <c r="AS98" s="313"/>
      <c r="AT98" s="313"/>
      <c r="AU98" s="313"/>
      <c r="AV98" s="313"/>
      <c r="AX98" s="315">
        <f t="shared" si="87"/>
        <v>80</v>
      </c>
      <c r="AY98" s="315">
        <f t="shared" si="88"/>
        <v>0</v>
      </c>
      <c r="AZ98" s="313" t="s">
        <v>865</v>
      </c>
      <c r="BA98" s="313" t="s">
        <v>754</v>
      </c>
      <c r="BB98" s="313" t="s">
        <v>874</v>
      </c>
      <c r="BC98" s="313" t="s">
        <v>497</v>
      </c>
      <c r="BD98" s="315" t="s">
        <v>466</v>
      </c>
      <c r="BE98" s="313" t="s">
        <v>500</v>
      </c>
      <c r="BF98" s="315">
        <v>5</v>
      </c>
      <c r="BG98" s="313" t="s">
        <v>470</v>
      </c>
      <c r="BH98" s="313">
        <v>500</v>
      </c>
      <c r="BI98" s="313">
        <v>80</v>
      </c>
      <c r="BJ98" s="313" t="s">
        <v>472</v>
      </c>
      <c r="BK98" s="313">
        <v>0</v>
      </c>
      <c r="BL98" s="313">
        <v>10</v>
      </c>
      <c r="BM98" s="313">
        <v>20</v>
      </c>
      <c r="BN98" s="313">
        <v>3</v>
      </c>
      <c r="BO98" s="313">
        <v>1</v>
      </c>
      <c r="BP98" s="313"/>
    </row>
    <row r="99" spans="1:68">
      <c r="A99" s="313" t="s">
        <v>2221</v>
      </c>
      <c r="B99" s="315" t="str">
        <f t="shared" si="75"/>
        <v>1D2</v>
      </c>
      <c r="C99" s="313" t="str">
        <f t="shared" si="76"/>
        <v>Herbivore</v>
      </c>
      <c r="D99" s="313" t="str">
        <f t="shared" si="77"/>
        <v>Non-threatening</v>
      </c>
      <c r="E99" s="315">
        <v>13</v>
      </c>
      <c r="F99" s="315">
        <v>0</v>
      </c>
      <c r="G99" s="315">
        <v>11</v>
      </c>
      <c r="H99" s="315">
        <v>0</v>
      </c>
      <c r="I99" s="315">
        <v>0</v>
      </c>
      <c r="J99" s="315">
        <v>0</v>
      </c>
      <c r="K99" s="315">
        <v>0</v>
      </c>
      <c r="L99" s="315">
        <v>0</v>
      </c>
      <c r="M99" s="315">
        <v>15</v>
      </c>
      <c r="N99" s="315">
        <v>0</v>
      </c>
      <c r="O99" s="315">
        <f t="shared" si="78"/>
        <v>1</v>
      </c>
      <c r="P99" s="315">
        <f t="shared" si="79"/>
        <v>3</v>
      </c>
      <c r="Q99" s="315" t="str">
        <f t="shared" si="80"/>
        <v>Light Hide</v>
      </c>
      <c r="R99" s="315" t="str">
        <f t="shared" si="81"/>
        <v>Light Hide</v>
      </c>
      <c r="S99" s="315" t="str">
        <f t="shared" si="82"/>
        <v>Light Hide</v>
      </c>
      <c r="T99" s="315" t="str">
        <f t="shared" si="83"/>
        <v>Light Hide</v>
      </c>
      <c r="U99" s="315" t="str">
        <f t="shared" si="84"/>
        <v>Light Hide</v>
      </c>
      <c r="V99" s="315" t="str">
        <f t="shared" si="85"/>
        <v>Light Hide</v>
      </c>
      <c r="W99" s="313" t="s">
        <v>414</v>
      </c>
      <c r="X99" s="313" t="s">
        <v>436</v>
      </c>
      <c r="Y99" s="313"/>
      <c r="Z99" s="313"/>
      <c r="AA99" s="313"/>
      <c r="AB99" s="313"/>
      <c r="AC99" s="313"/>
      <c r="AD99" s="315">
        <f t="shared" si="74"/>
        <v>5</v>
      </c>
      <c r="AE99" s="315">
        <f t="shared" si="86"/>
        <v>5</v>
      </c>
      <c r="AF99" s="313"/>
      <c r="AG99" s="313"/>
      <c r="AH99" s="313"/>
      <c r="AI99" s="313"/>
      <c r="AJ99" s="313"/>
      <c r="AK99" s="313"/>
      <c r="AL99" s="313"/>
      <c r="AM99" s="313"/>
      <c r="AN99" s="313" t="s">
        <v>458</v>
      </c>
      <c r="AO99" s="313">
        <v>5</v>
      </c>
      <c r="AP99" s="313"/>
      <c r="AQ99" s="313"/>
      <c r="AR99" s="313"/>
      <c r="AS99" s="313"/>
      <c r="AT99" s="313"/>
      <c r="AU99" s="313"/>
      <c r="AV99" s="313"/>
      <c r="AX99" s="315">
        <f t="shared" si="87"/>
        <v>50</v>
      </c>
      <c r="AY99" s="315">
        <f t="shared" si="88"/>
        <v>0</v>
      </c>
      <c r="AZ99" s="313" t="s">
        <v>2419</v>
      </c>
      <c r="BA99" s="313" t="s">
        <v>2420</v>
      </c>
      <c r="BB99" s="313" t="s">
        <v>2221</v>
      </c>
      <c r="BC99" s="313" t="s">
        <v>496</v>
      </c>
      <c r="BD99" s="315" t="s">
        <v>439</v>
      </c>
      <c r="BE99" s="313" t="s">
        <v>501</v>
      </c>
      <c r="BF99" s="315">
        <v>1</v>
      </c>
      <c r="BG99" s="313" t="s">
        <v>503</v>
      </c>
      <c r="BH99" s="313">
        <v>1400</v>
      </c>
      <c r="BI99" s="313">
        <v>50</v>
      </c>
      <c r="BJ99" s="313" t="s">
        <v>506</v>
      </c>
      <c r="BK99" s="313">
        <v>5</v>
      </c>
      <c r="BL99" s="313">
        <v>9</v>
      </c>
      <c r="BM99" s="313">
        <v>18</v>
      </c>
      <c r="BN99" s="313">
        <v>2</v>
      </c>
      <c r="BO99" s="313">
        <v>2</v>
      </c>
      <c r="BP99" s="313"/>
    </row>
    <row r="100" spans="1:68">
      <c r="A100" s="313" t="s">
        <v>2222</v>
      </c>
      <c r="B100" s="315" t="str">
        <f t="shared" si="75"/>
        <v>1D6</v>
      </c>
      <c r="C100" s="313" t="str">
        <f t="shared" si="76"/>
        <v>Carnivore</v>
      </c>
      <c r="D100" s="313" t="str">
        <f t="shared" si="77"/>
        <v>Ferocious</v>
      </c>
      <c r="E100" s="315">
        <v>9</v>
      </c>
      <c r="F100" s="315">
        <v>0</v>
      </c>
      <c r="G100" s="315">
        <v>6</v>
      </c>
      <c r="H100" s="315">
        <v>8</v>
      </c>
      <c r="I100" s="315">
        <v>0</v>
      </c>
      <c r="J100" s="315">
        <v>0</v>
      </c>
      <c r="K100" s="315">
        <v>0</v>
      </c>
      <c r="L100" s="315">
        <v>0</v>
      </c>
      <c r="M100" s="315">
        <v>15</v>
      </c>
      <c r="N100" s="315">
        <v>0</v>
      </c>
      <c r="O100" s="315">
        <f t="shared" si="78"/>
        <v>10</v>
      </c>
      <c r="P100" s="315">
        <f t="shared" si="79"/>
        <v>2</v>
      </c>
      <c r="Q100" s="315" t="str">
        <f t="shared" si="80"/>
        <v>Exoskeleton</v>
      </c>
      <c r="R100" s="315" t="str">
        <f t="shared" si="81"/>
        <v>Exoskeleton</v>
      </c>
      <c r="S100" s="315" t="str">
        <f t="shared" si="82"/>
        <v>Exoskeleton</v>
      </c>
      <c r="T100" s="315" t="str">
        <f t="shared" si="83"/>
        <v>Exoskeleton</v>
      </c>
      <c r="U100" s="315" t="str">
        <f t="shared" si="84"/>
        <v>Exoskeleton</v>
      </c>
      <c r="V100" s="315" t="str">
        <f t="shared" si="85"/>
        <v>Exoskeleton</v>
      </c>
      <c r="W100" s="313" t="s">
        <v>425</v>
      </c>
      <c r="X100" s="313" t="s">
        <v>457</v>
      </c>
      <c r="Y100" s="313" t="s">
        <v>457</v>
      </c>
      <c r="Z100" s="313" t="s">
        <v>454</v>
      </c>
      <c r="AA100" s="313"/>
      <c r="AB100" s="313"/>
      <c r="AC100" s="313"/>
      <c r="AD100" s="315">
        <f t="shared" si="74"/>
        <v>15</v>
      </c>
      <c r="AE100" s="315">
        <f t="shared" si="86"/>
        <v>15</v>
      </c>
      <c r="AF100" s="313"/>
      <c r="AG100" s="313"/>
      <c r="AH100" s="313"/>
      <c r="AI100" s="313"/>
      <c r="AJ100" s="313"/>
      <c r="AK100" s="313"/>
      <c r="AL100" s="313"/>
      <c r="AM100" s="313"/>
      <c r="AN100" s="313" t="s">
        <v>458</v>
      </c>
      <c r="AO100" s="313">
        <v>5</v>
      </c>
      <c r="AP100" s="313"/>
      <c r="AQ100" s="313"/>
      <c r="AR100" s="313"/>
      <c r="AS100" s="313"/>
      <c r="AT100" s="313"/>
      <c r="AU100" s="313"/>
      <c r="AV100" s="313"/>
      <c r="AX100" s="315">
        <f t="shared" si="87"/>
        <v>100</v>
      </c>
      <c r="AY100" s="315">
        <f t="shared" si="88"/>
        <v>0</v>
      </c>
      <c r="AZ100" s="313" t="s">
        <v>2419</v>
      </c>
      <c r="BA100" s="313" t="s">
        <v>2420</v>
      </c>
      <c r="BB100" s="313" t="s">
        <v>2222</v>
      </c>
      <c r="BC100" s="313" t="s">
        <v>497</v>
      </c>
      <c r="BD100" s="315" t="s">
        <v>502</v>
      </c>
      <c r="BE100" s="313" t="s">
        <v>468</v>
      </c>
      <c r="BF100" s="315">
        <v>10</v>
      </c>
      <c r="BG100" s="313" t="s">
        <v>469</v>
      </c>
      <c r="BH100" s="313">
        <v>400</v>
      </c>
      <c r="BI100" s="313">
        <v>100</v>
      </c>
      <c r="BJ100" s="313" t="s">
        <v>461</v>
      </c>
      <c r="BK100" s="313">
        <v>3</v>
      </c>
      <c r="BL100" s="313">
        <v>8</v>
      </c>
      <c r="BM100" s="313">
        <v>15</v>
      </c>
      <c r="BN100" s="313">
        <v>3</v>
      </c>
      <c r="BO100" s="313">
        <v>0</v>
      </c>
      <c r="BP100" s="313"/>
    </row>
    <row r="101" spans="1:68">
      <c r="A101" s="313" t="s">
        <v>2290</v>
      </c>
      <c r="B101" s="315" t="str">
        <f t="shared" si="75"/>
        <v>2D X 100</v>
      </c>
      <c r="C101" s="313" t="str">
        <f t="shared" si="76"/>
        <v>Omnivore</v>
      </c>
      <c r="D101" s="313" t="str">
        <f t="shared" si="77"/>
        <v>Non-threatening</v>
      </c>
      <c r="E101" s="315">
        <v>0</v>
      </c>
      <c r="F101" s="315">
        <v>0</v>
      </c>
      <c r="G101" s="315">
        <v>1</v>
      </c>
      <c r="H101" s="315">
        <v>0</v>
      </c>
      <c r="I101" s="315">
        <v>0</v>
      </c>
      <c r="J101" s="315">
        <v>0</v>
      </c>
      <c r="K101" s="315">
        <v>0</v>
      </c>
      <c r="L101" s="315">
        <v>0</v>
      </c>
      <c r="M101" s="315">
        <v>15</v>
      </c>
      <c r="N101" s="315">
        <v>0</v>
      </c>
      <c r="O101" s="315">
        <f t="shared" si="78"/>
        <v>2</v>
      </c>
      <c r="P101" s="315">
        <f t="shared" si="79"/>
        <v>-10</v>
      </c>
      <c r="Q101" s="315" t="str">
        <f t="shared" si="80"/>
        <v>Light Hide</v>
      </c>
      <c r="R101" s="315" t="str">
        <f t="shared" si="81"/>
        <v>Light Hide</v>
      </c>
      <c r="S101" s="315" t="str">
        <f t="shared" si="82"/>
        <v>Light Hide</v>
      </c>
      <c r="T101" s="315" t="str">
        <f t="shared" si="83"/>
        <v>Light Hide</v>
      </c>
      <c r="U101" s="315" t="str">
        <f t="shared" si="84"/>
        <v>Light Hide</v>
      </c>
      <c r="V101" s="315" t="str">
        <f t="shared" si="85"/>
        <v>Light Hide</v>
      </c>
      <c r="W101" s="313" t="s">
        <v>427</v>
      </c>
      <c r="X101" s="313"/>
      <c r="Y101" s="313"/>
      <c r="Z101" s="313"/>
      <c r="AA101" s="313"/>
      <c r="AB101" s="313"/>
      <c r="AC101" s="313"/>
      <c r="AD101" s="315">
        <f t="shared" si="74"/>
        <v>5</v>
      </c>
      <c r="AE101" s="315">
        <f t="shared" si="86"/>
        <v>5</v>
      </c>
      <c r="AF101" s="313"/>
      <c r="AG101" s="313"/>
      <c r="AH101" s="313"/>
      <c r="AI101" s="313"/>
      <c r="AJ101" s="313"/>
      <c r="AK101" s="313"/>
      <c r="AL101" s="313"/>
      <c r="AM101" s="313"/>
      <c r="AN101" s="313" t="s">
        <v>458</v>
      </c>
      <c r="AO101" s="313">
        <v>5</v>
      </c>
      <c r="AP101" s="313"/>
      <c r="AQ101" s="313"/>
      <c r="AR101" s="313"/>
      <c r="AS101" s="313"/>
      <c r="AT101" s="313"/>
      <c r="AU101" s="313"/>
      <c r="AV101" s="313"/>
      <c r="AX101" s="315">
        <f t="shared" si="87"/>
        <v>60</v>
      </c>
      <c r="AY101" s="315">
        <f t="shared" si="88"/>
        <v>0</v>
      </c>
      <c r="AZ101" s="313" t="s">
        <v>2419</v>
      </c>
      <c r="BA101" s="313" t="s">
        <v>2291</v>
      </c>
      <c r="BB101" s="313" t="s">
        <v>2290</v>
      </c>
      <c r="BC101" s="313" t="s">
        <v>459</v>
      </c>
      <c r="BD101" s="315" t="s">
        <v>426</v>
      </c>
      <c r="BE101" s="313" t="s">
        <v>428</v>
      </c>
      <c r="BF101" s="315">
        <v>2</v>
      </c>
      <c r="BG101" s="313" t="s">
        <v>429</v>
      </c>
      <c r="BH101" s="313">
        <v>0.5</v>
      </c>
      <c r="BI101" s="313">
        <v>60</v>
      </c>
      <c r="BJ101" s="313" t="s">
        <v>506</v>
      </c>
      <c r="BK101" s="313">
        <v>-3</v>
      </c>
      <c r="BL101" s="313">
        <v>1</v>
      </c>
      <c r="BM101" s="313">
        <v>2</v>
      </c>
      <c r="BN101" s="313">
        <v>1</v>
      </c>
      <c r="BO101" s="313">
        <v>0</v>
      </c>
      <c r="BP101" s="313"/>
    </row>
    <row r="102" spans="1:68">
      <c r="A102" s="313" t="s">
        <v>569</v>
      </c>
      <c r="B102" s="315" t="str">
        <f t="shared" si="75"/>
        <v>1D6</v>
      </c>
      <c r="C102" s="313" t="str">
        <f t="shared" si="76"/>
        <v>Omnivore</v>
      </c>
      <c r="D102" s="313" t="str">
        <f t="shared" si="77"/>
        <v>Non-threatening</v>
      </c>
      <c r="E102" s="315">
        <v>0</v>
      </c>
      <c r="F102" s="315">
        <v>0</v>
      </c>
      <c r="G102" s="315">
        <v>0</v>
      </c>
      <c r="H102" s="315">
        <v>0</v>
      </c>
      <c r="I102" s="315">
        <v>0</v>
      </c>
      <c r="J102" s="315">
        <v>0</v>
      </c>
      <c r="K102" s="315">
        <v>0</v>
      </c>
      <c r="L102" s="315">
        <v>0</v>
      </c>
      <c r="M102" s="315">
        <v>15</v>
      </c>
      <c r="N102" s="315">
        <v>0</v>
      </c>
      <c r="O102" s="315">
        <f t="shared" si="78"/>
        <v>1</v>
      </c>
      <c r="P102" s="315">
        <f t="shared" si="79"/>
        <v>2</v>
      </c>
      <c r="Q102" s="315" t="str">
        <f t="shared" si="80"/>
        <v>Light Hide</v>
      </c>
      <c r="R102" s="315" t="str">
        <f t="shared" si="81"/>
        <v>Light Hide</v>
      </c>
      <c r="S102" s="315" t="str">
        <f t="shared" si="82"/>
        <v>Light Hide</v>
      </c>
      <c r="T102" s="315" t="str">
        <f t="shared" si="83"/>
        <v>Light Hide</v>
      </c>
      <c r="U102" s="315" t="str">
        <f t="shared" si="84"/>
        <v>Light Hide</v>
      </c>
      <c r="V102" s="315" t="str">
        <f t="shared" si="85"/>
        <v>Light Hide</v>
      </c>
      <c r="W102" s="313" t="s">
        <v>488</v>
      </c>
      <c r="X102" s="313" t="s">
        <v>543</v>
      </c>
      <c r="Y102" s="313" t="s">
        <v>449</v>
      </c>
      <c r="Z102" s="313"/>
      <c r="AA102" s="313"/>
      <c r="AB102" s="313"/>
      <c r="AC102" s="313"/>
      <c r="AD102" s="315">
        <f t="shared" si="74"/>
        <v>15</v>
      </c>
      <c r="AE102" s="315">
        <f t="shared" si="86"/>
        <v>15</v>
      </c>
      <c r="AF102" s="313"/>
      <c r="AG102" s="313"/>
      <c r="AH102" s="313"/>
      <c r="AI102" s="313"/>
      <c r="AJ102" s="313"/>
      <c r="AK102" s="313"/>
      <c r="AL102" s="313"/>
      <c r="AM102" s="313"/>
      <c r="AN102" s="313"/>
      <c r="AO102" s="313"/>
      <c r="AP102" s="313"/>
      <c r="AQ102" s="313"/>
      <c r="AR102" s="313"/>
      <c r="AS102" s="313"/>
      <c r="AT102" s="313"/>
      <c r="AU102" s="313"/>
      <c r="AV102" s="313"/>
      <c r="AX102" s="315">
        <f t="shared" si="87"/>
        <v>50</v>
      </c>
      <c r="AY102" s="315">
        <f t="shared" si="88"/>
        <v>0</v>
      </c>
      <c r="AZ102" s="313" t="s">
        <v>914</v>
      </c>
      <c r="BA102" s="313" t="s">
        <v>567</v>
      </c>
      <c r="BB102" s="313" t="s">
        <v>569</v>
      </c>
      <c r="BC102" s="313" t="s">
        <v>539</v>
      </c>
      <c r="BD102" s="315" t="s">
        <v>746</v>
      </c>
      <c r="BE102" s="313" t="s">
        <v>541</v>
      </c>
      <c r="BF102" s="315">
        <v>1</v>
      </c>
      <c r="BG102" s="313" t="s">
        <v>493</v>
      </c>
      <c r="BH102" s="313">
        <v>200</v>
      </c>
      <c r="BI102" s="313">
        <v>50</v>
      </c>
      <c r="BJ102" s="313" t="s">
        <v>735</v>
      </c>
      <c r="BK102" s="313">
        <v>0</v>
      </c>
      <c r="BL102" s="313">
        <v>7</v>
      </c>
      <c r="BM102" s="313">
        <v>14</v>
      </c>
      <c r="BN102" s="313">
        <v>3</v>
      </c>
      <c r="BO102" s="313">
        <v>0</v>
      </c>
      <c r="BP102" s="313"/>
    </row>
    <row r="103" spans="1:68">
      <c r="A103" s="313" t="s">
        <v>568</v>
      </c>
      <c r="B103" s="315" t="str">
        <f t="shared" si="75"/>
        <v>1D10</v>
      </c>
      <c r="C103" s="313" t="str">
        <f t="shared" si="76"/>
        <v>Omnivore</v>
      </c>
      <c r="D103" s="313" t="str">
        <f t="shared" si="77"/>
        <v>Non-threatening</v>
      </c>
      <c r="E103" s="315">
        <v>0</v>
      </c>
      <c r="F103" s="315">
        <v>0</v>
      </c>
      <c r="G103" s="315">
        <v>0</v>
      </c>
      <c r="H103" s="315">
        <v>0</v>
      </c>
      <c r="I103" s="315">
        <v>0</v>
      </c>
      <c r="J103" s="315">
        <v>0</v>
      </c>
      <c r="K103" s="315">
        <v>0</v>
      </c>
      <c r="L103" s="315">
        <v>0</v>
      </c>
      <c r="M103" s="315">
        <v>15</v>
      </c>
      <c r="N103" s="315">
        <v>0</v>
      </c>
      <c r="O103" s="315">
        <f t="shared" si="78"/>
        <v>2</v>
      </c>
      <c r="P103" s="315">
        <f t="shared" si="79"/>
        <v>4</v>
      </c>
      <c r="Q103" s="315" t="str">
        <f t="shared" si="80"/>
        <v>Heavy Hide</v>
      </c>
      <c r="R103" s="315" t="str">
        <f t="shared" si="81"/>
        <v>Heavy Hide</v>
      </c>
      <c r="S103" s="315" t="str">
        <f t="shared" si="82"/>
        <v>Heavy Hide</v>
      </c>
      <c r="T103" s="315" t="str">
        <f t="shared" si="83"/>
        <v>Heavy Hide</v>
      </c>
      <c r="U103" s="315" t="str">
        <f t="shared" si="84"/>
        <v>Heavy Hide</v>
      </c>
      <c r="V103" s="315" t="str">
        <f t="shared" si="85"/>
        <v>Heavy Hide</v>
      </c>
      <c r="W103" s="313" t="s">
        <v>474</v>
      </c>
      <c r="X103" s="313" t="s">
        <v>543</v>
      </c>
      <c r="Y103" s="313" t="s">
        <v>475</v>
      </c>
      <c r="Z103" s="313"/>
      <c r="AA103" s="313"/>
      <c r="AB103" s="313"/>
      <c r="AC103" s="313"/>
      <c r="AD103" s="315">
        <f t="shared" si="74"/>
        <v>15</v>
      </c>
      <c r="AE103" s="315">
        <f t="shared" si="86"/>
        <v>15</v>
      </c>
      <c r="AF103" s="313"/>
      <c r="AG103" s="313"/>
      <c r="AH103" s="313"/>
      <c r="AI103" s="313"/>
      <c r="AJ103" s="313"/>
      <c r="AK103" s="313"/>
      <c r="AL103" s="313"/>
      <c r="AM103" s="313"/>
      <c r="AN103" s="313"/>
      <c r="AO103" s="313"/>
      <c r="AP103" s="313"/>
      <c r="AQ103" s="313"/>
      <c r="AR103" s="313"/>
      <c r="AS103" s="313"/>
      <c r="AT103" s="313"/>
      <c r="AU103" s="313"/>
      <c r="AV103" s="313"/>
      <c r="AX103" s="315">
        <f t="shared" si="87"/>
        <v>50</v>
      </c>
      <c r="AY103" s="315">
        <f t="shared" si="88"/>
        <v>0</v>
      </c>
      <c r="AZ103" s="313" t="s">
        <v>914</v>
      </c>
      <c r="BA103" s="313" t="s">
        <v>567</v>
      </c>
      <c r="BB103" s="313" t="s">
        <v>568</v>
      </c>
      <c r="BC103" s="313" t="s">
        <v>539</v>
      </c>
      <c r="BD103" s="315" t="s">
        <v>492</v>
      </c>
      <c r="BE103" s="313" t="s">
        <v>541</v>
      </c>
      <c r="BF103" s="315">
        <v>2</v>
      </c>
      <c r="BG103" s="313" t="s">
        <v>741</v>
      </c>
      <c r="BH103" s="313">
        <v>1500</v>
      </c>
      <c r="BI103" s="313">
        <v>50</v>
      </c>
      <c r="BJ103" s="313" t="s">
        <v>494</v>
      </c>
      <c r="BK103" s="313">
        <v>1</v>
      </c>
      <c r="BL103" s="313">
        <v>14</v>
      </c>
      <c r="BM103" s="313">
        <v>21</v>
      </c>
      <c r="BN103" s="313">
        <v>4</v>
      </c>
      <c r="BO103" s="313">
        <v>0</v>
      </c>
      <c r="BP103" s="313"/>
    </row>
    <row r="104" spans="1:68">
      <c r="A104" s="313" t="s">
        <v>570</v>
      </c>
      <c r="B104" s="315">
        <f t="shared" si="75"/>
        <v>1</v>
      </c>
      <c r="C104" s="313" t="str">
        <f t="shared" si="76"/>
        <v>Carnivore</v>
      </c>
      <c r="D104" s="313" t="str">
        <f t="shared" si="77"/>
        <v>Dangerous</v>
      </c>
      <c r="E104" s="315">
        <v>0</v>
      </c>
      <c r="F104" s="315">
        <v>0</v>
      </c>
      <c r="G104" s="315">
        <v>0</v>
      </c>
      <c r="H104" s="315">
        <v>0</v>
      </c>
      <c r="I104" s="315">
        <v>0</v>
      </c>
      <c r="J104" s="315">
        <v>0</v>
      </c>
      <c r="K104" s="315">
        <v>0</v>
      </c>
      <c r="L104" s="315">
        <v>0</v>
      </c>
      <c r="M104" s="315">
        <v>15</v>
      </c>
      <c r="N104" s="315">
        <v>0</v>
      </c>
      <c r="O104" s="315">
        <f t="shared" si="78"/>
        <v>6</v>
      </c>
      <c r="P104" s="315">
        <f t="shared" si="79"/>
        <v>-3</v>
      </c>
      <c r="Q104" s="315" t="str">
        <f t="shared" si="80"/>
        <v>Skin</v>
      </c>
      <c r="R104" s="315" t="str">
        <f t="shared" si="81"/>
        <v>Skin</v>
      </c>
      <c r="S104" s="315" t="str">
        <f t="shared" si="82"/>
        <v>Skin</v>
      </c>
      <c r="T104" s="315" t="str">
        <f t="shared" si="83"/>
        <v>Skin</v>
      </c>
      <c r="U104" s="315" t="str">
        <f t="shared" si="84"/>
        <v>Skin</v>
      </c>
      <c r="V104" s="315" t="str">
        <f t="shared" si="85"/>
        <v>Skin</v>
      </c>
      <c r="W104" s="313" t="s">
        <v>420</v>
      </c>
      <c r="X104" s="313" t="s">
        <v>543</v>
      </c>
      <c r="Y104" s="313" t="s">
        <v>625</v>
      </c>
      <c r="Z104" s="313" t="s">
        <v>625</v>
      </c>
      <c r="AA104" s="313" t="s">
        <v>625</v>
      </c>
      <c r="AB104" s="313" t="s">
        <v>625</v>
      </c>
      <c r="AC104" s="313"/>
      <c r="AD104" s="315">
        <f t="shared" si="74"/>
        <v>15</v>
      </c>
      <c r="AE104" s="315">
        <f t="shared" si="86"/>
        <v>15</v>
      </c>
      <c r="AF104" s="313"/>
      <c r="AG104" s="313"/>
      <c r="AH104" s="313"/>
      <c r="AI104" s="313"/>
      <c r="AJ104" s="313"/>
      <c r="AK104" s="313"/>
      <c r="AL104" s="313"/>
      <c r="AM104" s="313"/>
      <c r="AN104" s="313"/>
      <c r="AO104" s="313"/>
      <c r="AP104" s="313"/>
      <c r="AQ104" s="313"/>
      <c r="AR104" s="313"/>
      <c r="AS104" s="313"/>
      <c r="AT104" s="313"/>
      <c r="AU104" s="313"/>
      <c r="AV104" s="313"/>
      <c r="AX104" s="315">
        <f t="shared" si="87"/>
        <v>60</v>
      </c>
      <c r="AY104" s="315">
        <f t="shared" si="88"/>
        <v>0</v>
      </c>
      <c r="AZ104" s="313" t="s">
        <v>914</v>
      </c>
      <c r="BA104" s="313" t="s">
        <v>661</v>
      </c>
      <c r="BB104" s="313" t="s">
        <v>570</v>
      </c>
      <c r="BC104" s="313" t="s">
        <v>737</v>
      </c>
      <c r="BD104" s="315">
        <v>1</v>
      </c>
      <c r="BE104" s="313" t="s">
        <v>748</v>
      </c>
      <c r="BF104" s="315">
        <v>6</v>
      </c>
      <c r="BG104" s="313" t="s">
        <v>741</v>
      </c>
      <c r="BH104" s="313">
        <v>60</v>
      </c>
      <c r="BI104" s="313">
        <v>60</v>
      </c>
      <c r="BJ104" s="313" t="s">
        <v>742</v>
      </c>
      <c r="BK104" s="313">
        <v>0</v>
      </c>
      <c r="BL104" s="313">
        <v>3</v>
      </c>
      <c r="BM104" s="313">
        <v>6</v>
      </c>
      <c r="BN104" s="313">
        <v>2</v>
      </c>
      <c r="BO104" s="313">
        <v>-3</v>
      </c>
      <c r="BP104" s="313"/>
    </row>
    <row r="105" spans="1:68">
      <c r="A105" s="313" t="s">
        <v>880</v>
      </c>
      <c r="B105" s="315" t="str">
        <f t="shared" si="75"/>
        <v>1D6</v>
      </c>
      <c r="C105" s="313" t="str">
        <f t="shared" si="76"/>
        <v>Herbivore</v>
      </c>
      <c r="D105" s="313" t="str">
        <f t="shared" si="77"/>
        <v>Dangerous</v>
      </c>
      <c r="E105" s="315">
        <v>0</v>
      </c>
      <c r="F105" s="315">
        <v>0</v>
      </c>
      <c r="G105" s="315">
        <v>0</v>
      </c>
      <c r="H105" s="315">
        <v>0</v>
      </c>
      <c r="I105" s="315">
        <v>0</v>
      </c>
      <c r="J105" s="315">
        <v>0</v>
      </c>
      <c r="K105" s="315">
        <v>0</v>
      </c>
      <c r="L105" s="315">
        <v>0</v>
      </c>
      <c r="M105" s="315">
        <v>15</v>
      </c>
      <c r="N105" s="315">
        <v>0</v>
      </c>
      <c r="O105" s="315">
        <f t="shared" si="78"/>
        <v>5</v>
      </c>
      <c r="P105" s="315">
        <f t="shared" si="79"/>
        <v>-3</v>
      </c>
      <c r="Q105" s="315" t="str">
        <f t="shared" si="80"/>
        <v>Light Hide</v>
      </c>
      <c r="R105" s="315" t="str">
        <f t="shared" si="81"/>
        <v>Light Hide</v>
      </c>
      <c r="S105" s="315" t="str">
        <f t="shared" si="82"/>
        <v>Light Hide</v>
      </c>
      <c r="T105" s="315" t="str">
        <f t="shared" si="83"/>
        <v>Light Hide</v>
      </c>
      <c r="U105" s="315" t="str">
        <f t="shared" si="84"/>
        <v>Light Hide</v>
      </c>
      <c r="V105" s="315" t="str">
        <f t="shared" si="85"/>
        <v>Light Hide</v>
      </c>
      <c r="W105" s="313" t="s">
        <v>2541</v>
      </c>
      <c r="X105" s="313" t="s">
        <v>2484</v>
      </c>
      <c r="Y105" s="313"/>
      <c r="Z105" s="313"/>
      <c r="AA105" s="313"/>
      <c r="AB105" s="313"/>
      <c r="AC105" s="313"/>
      <c r="AD105" s="315">
        <f t="shared" si="74"/>
        <v>15</v>
      </c>
      <c r="AE105" s="315">
        <f t="shared" si="86"/>
        <v>15</v>
      </c>
      <c r="AF105" s="313"/>
      <c r="AG105" s="313"/>
      <c r="AH105" s="313"/>
      <c r="AI105" s="313"/>
      <c r="AJ105" s="313"/>
      <c r="AK105" s="313"/>
      <c r="AL105" s="313"/>
      <c r="AM105" s="313"/>
      <c r="AN105" s="313"/>
      <c r="AO105" s="313"/>
      <c r="AP105" s="313"/>
      <c r="AQ105" s="313"/>
      <c r="AR105" s="313"/>
      <c r="AS105" s="313"/>
      <c r="AT105" s="313"/>
      <c r="AU105" s="313"/>
      <c r="AV105" s="313"/>
      <c r="AX105" s="315">
        <f t="shared" si="87"/>
        <v>50</v>
      </c>
      <c r="AY105" s="315">
        <f t="shared" si="88"/>
        <v>0</v>
      </c>
      <c r="AZ105" s="313" t="s">
        <v>879</v>
      </c>
      <c r="BA105" s="313" t="s">
        <v>878</v>
      </c>
      <c r="BB105" s="313" t="s">
        <v>880</v>
      </c>
      <c r="BC105" s="313" t="s">
        <v>2478</v>
      </c>
      <c r="BD105" s="315" t="s">
        <v>2479</v>
      </c>
      <c r="BE105" s="313" t="s">
        <v>2480</v>
      </c>
      <c r="BF105" s="315">
        <v>5</v>
      </c>
      <c r="BG105" s="313" t="s">
        <v>2481</v>
      </c>
      <c r="BH105" s="313">
        <v>40</v>
      </c>
      <c r="BI105" s="313">
        <v>50</v>
      </c>
      <c r="BJ105" s="313" t="s">
        <v>2482</v>
      </c>
      <c r="BK105" s="313">
        <v>-1</v>
      </c>
      <c r="BL105" s="313">
        <v>3</v>
      </c>
      <c r="BM105" s="313">
        <v>7</v>
      </c>
      <c r="BN105" s="313">
        <v>1</v>
      </c>
      <c r="BO105" s="313">
        <v>-1</v>
      </c>
      <c r="BP105" s="313"/>
    </row>
    <row r="106" spans="1:68">
      <c r="A106" s="313" t="s">
        <v>881</v>
      </c>
      <c r="B106" s="315" t="str">
        <f t="shared" si="75"/>
        <v>3D6</v>
      </c>
      <c r="C106" s="313" t="str">
        <f t="shared" si="76"/>
        <v>Carnivore</v>
      </c>
      <c r="D106" s="313" t="str">
        <f t="shared" si="77"/>
        <v>Non-threatening</v>
      </c>
      <c r="E106" s="315">
        <v>0</v>
      </c>
      <c r="F106" s="315">
        <v>0</v>
      </c>
      <c r="G106" s="315">
        <v>0</v>
      </c>
      <c r="H106" s="315">
        <v>0</v>
      </c>
      <c r="I106" s="315">
        <v>0</v>
      </c>
      <c r="J106" s="315">
        <v>0</v>
      </c>
      <c r="K106" s="315">
        <v>0</v>
      </c>
      <c r="L106" s="315">
        <v>0</v>
      </c>
      <c r="M106" s="315">
        <v>15</v>
      </c>
      <c r="N106" s="315">
        <v>0</v>
      </c>
      <c r="O106" s="315">
        <f t="shared" si="78"/>
        <v>3</v>
      </c>
      <c r="P106" s="315">
        <f t="shared" si="79"/>
        <v>-3</v>
      </c>
      <c r="Q106" s="315" t="str">
        <f t="shared" si="80"/>
        <v>Light Hide</v>
      </c>
      <c r="R106" s="315" t="str">
        <f t="shared" si="81"/>
        <v>Light Hide</v>
      </c>
      <c r="S106" s="315" t="str">
        <f t="shared" si="82"/>
        <v>Light Hide</v>
      </c>
      <c r="T106" s="315" t="str">
        <f t="shared" si="83"/>
        <v>Light Hide</v>
      </c>
      <c r="U106" s="315" t="str">
        <f t="shared" si="84"/>
        <v>Light Hide</v>
      </c>
      <c r="V106" s="315" t="str">
        <f t="shared" si="85"/>
        <v>Light Hide</v>
      </c>
      <c r="W106" s="313" t="s">
        <v>2540</v>
      </c>
      <c r="X106" s="313" t="s">
        <v>2485</v>
      </c>
      <c r="Y106" s="313"/>
      <c r="Z106" s="313"/>
      <c r="AA106" s="313"/>
      <c r="AB106" s="313"/>
      <c r="AC106" s="313"/>
      <c r="AD106" s="315">
        <f t="shared" si="74"/>
        <v>10</v>
      </c>
      <c r="AE106" s="315">
        <f t="shared" si="86"/>
        <v>10</v>
      </c>
      <c r="AF106" s="313"/>
      <c r="AG106" s="313"/>
      <c r="AH106" s="313"/>
      <c r="AI106" s="313"/>
      <c r="AJ106" s="313"/>
      <c r="AK106" s="313"/>
      <c r="AL106" s="313"/>
      <c r="AM106" s="313"/>
      <c r="AN106" s="313"/>
      <c r="AO106" s="313"/>
      <c r="AP106" s="313"/>
      <c r="AQ106" s="313"/>
      <c r="AR106" s="313"/>
      <c r="AS106" s="313"/>
      <c r="AT106" s="313"/>
      <c r="AU106" s="313"/>
      <c r="AV106" s="313"/>
      <c r="AX106" s="315">
        <f t="shared" si="87"/>
        <v>100</v>
      </c>
      <c r="AY106" s="315">
        <f t="shared" si="88"/>
        <v>0</v>
      </c>
      <c r="AZ106" s="313" t="s">
        <v>879</v>
      </c>
      <c r="BA106" s="313" t="s">
        <v>878</v>
      </c>
      <c r="BB106" s="313" t="s">
        <v>881</v>
      </c>
      <c r="BC106" s="313" t="s">
        <v>2486</v>
      </c>
      <c r="BD106" s="315" t="s">
        <v>2487</v>
      </c>
      <c r="BE106" s="313" t="s">
        <v>2488</v>
      </c>
      <c r="BF106" s="315">
        <v>3</v>
      </c>
      <c r="BG106" s="313" t="s">
        <v>2489</v>
      </c>
      <c r="BH106" s="313">
        <v>60</v>
      </c>
      <c r="BI106" s="313">
        <v>100</v>
      </c>
      <c r="BJ106" s="313" t="s">
        <v>2482</v>
      </c>
      <c r="BK106" s="313">
        <v>-2</v>
      </c>
      <c r="BL106" s="313">
        <v>2</v>
      </c>
      <c r="BM106" s="313">
        <v>6</v>
      </c>
      <c r="BN106" s="313">
        <v>1</v>
      </c>
      <c r="BO106" s="313">
        <v>-1</v>
      </c>
      <c r="BP106" s="313"/>
    </row>
    <row r="107" spans="1:68">
      <c r="A107" s="313" t="s">
        <v>882</v>
      </c>
      <c r="B107" s="315" t="str">
        <f t="shared" si="75"/>
        <v>1D6 X 1D6</v>
      </c>
      <c r="C107" s="313" t="str">
        <f t="shared" si="76"/>
        <v>Herbivore</v>
      </c>
      <c r="D107" s="313" t="str">
        <f t="shared" si="77"/>
        <v>Non-threatening</v>
      </c>
      <c r="E107" s="315">
        <v>0</v>
      </c>
      <c r="F107" s="315">
        <v>0</v>
      </c>
      <c r="G107" s="315">
        <v>0</v>
      </c>
      <c r="H107" s="315">
        <v>0</v>
      </c>
      <c r="I107" s="315">
        <v>0</v>
      </c>
      <c r="J107" s="315">
        <v>0</v>
      </c>
      <c r="K107" s="315">
        <v>0</v>
      </c>
      <c r="L107" s="315">
        <v>0</v>
      </c>
      <c r="M107" s="315">
        <v>15</v>
      </c>
      <c r="N107" s="315">
        <v>0</v>
      </c>
      <c r="O107" s="315">
        <f t="shared" si="78"/>
        <v>2</v>
      </c>
      <c r="P107" s="315">
        <f t="shared" si="79"/>
        <v>2</v>
      </c>
      <c r="Q107" s="315" t="str">
        <f t="shared" si="80"/>
        <v>Heavy Hide</v>
      </c>
      <c r="R107" s="315" t="str">
        <f t="shared" si="81"/>
        <v>Heavy Hide</v>
      </c>
      <c r="S107" s="315" t="str">
        <f t="shared" si="82"/>
        <v>Heavy Hide</v>
      </c>
      <c r="T107" s="315" t="str">
        <f t="shared" si="83"/>
        <v>Heavy Hide</v>
      </c>
      <c r="U107" s="315" t="str">
        <f t="shared" si="84"/>
        <v>Heavy Hide</v>
      </c>
      <c r="V107" s="315" t="str">
        <f t="shared" si="85"/>
        <v>Heavy Hide</v>
      </c>
      <c r="W107" s="313" t="s">
        <v>2474</v>
      </c>
      <c r="X107" s="313" t="s">
        <v>2485</v>
      </c>
      <c r="Y107" s="313"/>
      <c r="Z107" s="313"/>
      <c r="AA107" s="313"/>
      <c r="AB107" s="313"/>
      <c r="AC107" s="313"/>
      <c r="AD107" s="315">
        <f t="shared" si="74"/>
        <v>5</v>
      </c>
      <c r="AE107" s="315">
        <f t="shared" si="86"/>
        <v>5</v>
      </c>
      <c r="AF107" s="313"/>
      <c r="AG107" s="313"/>
      <c r="AH107" s="313"/>
      <c r="AI107" s="313"/>
      <c r="AJ107" s="313"/>
      <c r="AK107" s="313"/>
      <c r="AL107" s="313"/>
      <c r="AM107" s="313"/>
      <c r="AN107" s="313"/>
      <c r="AO107" s="313"/>
      <c r="AP107" s="313"/>
      <c r="AQ107" s="313"/>
      <c r="AR107" s="313"/>
      <c r="AS107" s="313"/>
      <c r="AT107" s="313"/>
      <c r="AU107" s="313"/>
      <c r="AV107" s="313"/>
      <c r="AX107" s="315">
        <f t="shared" si="87"/>
        <v>90</v>
      </c>
      <c r="AY107" s="315">
        <f t="shared" si="88"/>
        <v>0</v>
      </c>
      <c r="AZ107" s="313" t="s">
        <v>879</v>
      </c>
      <c r="BA107" s="313" t="s">
        <v>878</v>
      </c>
      <c r="BB107" s="313" t="s">
        <v>882</v>
      </c>
      <c r="BC107" s="313" t="s">
        <v>2478</v>
      </c>
      <c r="BD107" s="315" t="s">
        <v>2490</v>
      </c>
      <c r="BE107" s="313" t="s">
        <v>2488</v>
      </c>
      <c r="BF107" s="315">
        <v>2</v>
      </c>
      <c r="BG107" s="313" t="s">
        <v>2491</v>
      </c>
      <c r="BH107" s="313">
        <v>200</v>
      </c>
      <c r="BI107" s="313">
        <v>90</v>
      </c>
      <c r="BJ107" s="313" t="s">
        <v>2492</v>
      </c>
      <c r="BK107" s="313">
        <v>0</v>
      </c>
      <c r="BL107" s="313">
        <v>6</v>
      </c>
      <c r="BM107" s="313">
        <v>14</v>
      </c>
      <c r="BN107" s="313">
        <v>5</v>
      </c>
      <c r="BO107" s="313">
        <v>0</v>
      </c>
      <c r="BP107" s="313"/>
    </row>
    <row r="108" spans="1:68">
      <c r="A108" s="313" t="s">
        <v>883</v>
      </c>
      <c r="B108" s="315">
        <f t="shared" si="75"/>
        <v>1</v>
      </c>
      <c r="C108" s="313" t="str">
        <f t="shared" si="76"/>
        <v>Carnivore</v>
      </c>
      <c r="D108" s="313" t="str">
        <f t="shared" si="77"/>
        <v>Dangerous</v>
      </c>
      <c r="E108" s="315">
        <v>0</v>
      </c>
      <c r="F108" s="315">
        <v>0</v>
      </c>
      <c r="G108" s="315">
        <v>0</v>
      </c>
      <c r="H108" s="315">
        <v>0</v>
      </c>
      <c r="I108" s="315">
        <v>0</v>
      </c>
      <c r="J108" s="315">
        <v>0</v>
      </c>
      <c r="K108" s="315">
        <v>0</v>
      </c>
      <c r="L108" s="315">
        <v>0</v>
      </c>
      <c r="M108" s="315">
        <v>15</v>
      </c>
      <c r="N108" s="315">
        <v>0</v>
      </c>
      <c r="O108" s="315">
        <f t="shared" si="78"/>
        <v>10</v>
      </c>
      <c r="P108" s="315">
        <f t="shared" si="79"/>
        <v>-5</v>
      </c>
      <c r="Q108" s="315" t="str">
        <f t="shared" si="80"/>
        <v>Fur/Feathers</v>
      </c>
      <c r="R108" s="315" t="str">
        <f t="shared" si="81"/>
        <v>Fur/Feathers</v>
      </c>
      <c r="S108" s="315" t="str">
        <f t="shared" si="82"/>
        <v>Fur/Feathers</v>
      </c>
      <c r="T108" s="315" t="str">
        <f t="shared" si="83"/>
        <v>Fur/Feathers</v>
      </c>
      <c r="U108" s="315" t="str">
        <f t="shared" si="84"/>
        <v>Fur/Feathers</v>
      </c>
      <c r="V108" s="315" t="str">
        <f t="shared" si="85"/>
        <v>Fur/Feathers</v>
      </c>
      <c r="W108" s="313" t="s">
        <v>2526</v>
      </c>
      <c r="X108" s="313" t="s">
        <v>2529</v>
      </c>
      <c r="Y108" s="313" t="s">
        <v>2530</v>
      </c>
      <c r="Z108" s="313"/>
      <c r="AA108" s="313"/>
      <c r="AB108" s="313"/>
      <c r="AC108" s="313"/>
      <c r="AD108" s="315">
        <f t="shared" si="74"/>
        <v>15</v>
      </c>
      <c r="AE108" s="315">
        <f t="shared" si="86"/>
        <v>15</v>
      </c>
      <c r="AF108" s="313"/>
      <c r="AG108" s="313"/>
      <c r="AH108" s="313"/>
      <c r="AI108" s="313"/>
      <c r="AJ108" s="313"/>
      <c r="AK108" s="313"/>
      <c r="AL108" s="313"/>
      <c r="AM108" s="313"/>
      <c r="AN108" s="313"/>
      <c r="AO108" s="313"/>
      <c r="AP108" s="313"/>
      <c r="AQ108" s="313"/>
      <c r="AR108" s="313"/>
      <c r="AS108" s="313"/>
      <c r="AT108" s="313"/>
      <c r="AU108" s="313"/>
      <c r="AV108" s="313"/>
      <c r="AX108" s="315">
        <f t="shared" si="87"/>
        <v>90</v>
      </c>
      <c r="AY108" s="315">
        <f t="shared" si="88"/>
        <v>0</v>
      </c>
      <c r="AZ108" s="313" t="s">
        <v>879</v>
      </c>
      <c r="BA108" s="313" t="s">
        <v>878</v>
      </c>
      <c r="BB108" s="313" t="s">
        <v>883</v>
      </c>
      <c r="BC108" s="313" t="s">
        <v>2486</v>
      </c>
      <c r="BD108" s="315">
        <v>1</v>
      </c>
      <c r="BE108" s="313" t="s">
        <v>2480</v>
      </c>
      <c r="BF108" s="315">
        <v>10</v>
      </c>
      <c r="BG108" s="313" t="s">
        <v>2481</v>
      </c>
      <c r="BH108" s="313">
        <v>10</v>
      </c>
      <c r="BI108" s="313">
        <v>90</v>
      </c>
      <c r="BJ108" s="313" t="s">
        <v>2559</v>
      </c>
      <c r="BK108" s="313">
        <v>-4</v>
      </c>
      <c r="BL108" s="313">
        <v>1</v>
      </c>
      <c r="BM108" s="313">
        <v>3</v>
      </c>
      <c r="BN108" s="313">
        <v>1</v>
      </c>
      <c r="BO108" s="313">
        <v>0</v>
      </c>
      <c r="BP108" s="313"/>
    </row>
    <row r="109" spans="1:68">
      <c r="A109" s="313" t="s">
        <v>685</v>
      </c>
      <c r="B109" s="315" t="str">
        <f t="shared" si="75"/>
        <v>1D10 + 4</v>
      </c>
      <c r="C109" s="313" t="str">
        <f t="shared" si="76"/>
        <v>Herbivore</v>
      </c>
      <c r="D109" s="313" t="str">
        <f t="shared" si="77"/>
        <v>Non-threatening</v>
      </c>
      <c r="E109" s="315">
        <v>0</v>
      </c>
      <c r="F109" s="315">
        <v>0</v>
      </c>
      <c r="G109" s="315">
        <v>0</v>
      </c>
      <c r="H109" s="315">
        <v>0</v>
      </c>
      <c r="I109" s="315">
        <v>0</v>
      </c>
      <c r="J109" s="315">
        <v>0</v>
      </c>
      <c r="K109" s="315">
        <v>0</v>
      </c>
      <c r="L109" s="315">
        <v>0</v>
      </c>
      <c r="M109" s="315">
        <v>15</v>
      </c>
      <c r="N109" s="315">
        <v>0</v>
      </c>
      <c r="O109" s="315">
        <f t="shared" si="78"/>
        <v>2</v>
      </c>
      <c r="P109" s="315">
        <f t="shared" si="79"/>
        <v>-9</v>
      </c>
      <c r="Q109" s="315" t="str">
        <f t="shared" si="80"/>
        <v>Fur/Feathers</v>
      </c>
      <c r="R109" s="315" t="str">
        <f t="shared" si="81"/>
        <v>Fur/Feathers</v>
      </c>
      <c r="S109" s="315" t="str">
        <f t="shared" si="82"/>
        <v>Fur/Feathers</v>
      </c>
      <c r="T109" s="315" t="str">
        <f t="shared" si="83"/>
        <v>Fur/Feathers</v>
      </c>
      <c r="U109" s="315" t="str">
        <f t="shared" si="84"/>
        <v>Fur/Feathers</v>
      </c>
      <c r="V109" s="315" t="str">
        <f t="shared" si="85"/>
        <v>Fur/Feathers</v>
      </c>
      <c r="W109" s="313" t="s">
        <v>2546</v>
      </c>
      <c r="X109" s="313" t="s">
        <v>2529</v>
      </c>
      <c r="Y109" s="313"/>
      <c r="Z109" s="313"/>
      <c r="AA109" s="313"/>
      <c r="AB109" s="313"/>
      <c r="AC109" s="313"/>
      <c r="AD109" s="315">
        <f t="shared" si="74"/>
        <v>5</v>
      </c>
      <c r="AE109" s="315">
        <f t="shared" si="86"/>
        <v>5</v>
      </c>
      <c r="AF109" s="313"/>
      <c r="AG109" s="313"/>
      <c r="AH109" s="313"/>
      <c r="AI109" s="313"/>
      <c r="AJ109" s="313"/>
      <c r="AK109" s="313"/>
      <c r="AL109" s="313"/>
      <c r="AM109" s="313"/>
      <c r="AN109" s="313"/>
      <c r="AO109" s="313"/>
      <c r="AP109" s="313"/>
      <c r="AQ109" s="313"/>
      <c r="AR109" s="313"/>
      <c r="AS109" s="313"/>
      <c r="AT109" s="313"/>
      <c r="AU109" s="313"/>
      <c r="AV109" s="313"/>
      <c r="AX109" s="315">
        <f t="shared" si="87"/>
        <v>90</v>
      </c>
      <c r="AY109" s="315" t="str">
        <f t="shared" si="88"/>
        <v>Yes</v>
      </c>
      <c r="AZ109" s="313" t="s">
        <v>2454</v>
      </c>
      <c r="BA109" s="313" t="s">
        <v>2115</v>
      </c>
      <c r="BB109" s="313" t="s">
        <v>2453</v>
      </c>
      <c r="BC109" s="313" t="s">
        <v>2478</v>
      </c>
      <c r="BD109" s="315" t="s">
        <v>2527</v>
      </c>
      <c r="BE109" s="313" t="s">
        <v>2488</v>
      </c>
      <c r="BF109" s="315">
        <v>2</v>
      </c>
      <c r="BG109" s="313" t="s">
        <v>2491</v>
      </c>
      <c r="BH109" s="313">
        <v>2</v>
      </c>
      <c r="BI109" s="313">
        <v>90</v>
      </c>
      <c r="BJ109" s="313" t="s">
        <v>2559</v>
      </c>
      <c r="BK109" s="313">
        <v>-4</v>
      </c>
      <c r="BL109" s="313">
        <v>2</v>
      </c>
      <c r="BM109" s="313">
        <v>4</v>
      </c>
      <c r="BN109" s="313">
        <v>0</v>
      </c>
      <c r="BO109" s="313">
        <v>0</v>
      </c>
      <c r="BP109" s="313" t="s">
        <v>2528</v>
      </c>
    </row>
    <row r="110" spans="1:68">
      <c r="A110" s="313" t="s">
        <v>2116</v>
      </c>
      <c r="B110" s="315" t="str">
        <f t="shared" si="75"/>
        <v>1D3</v>
      </c>
      <c r="C110" s="313" t="str">
        <f t="shared" si="76"/>
        <v>Carnivore</v>
      </c>
      <c r="D110" s="313" t="str">
        <f t="shared" si="77"/>
        <v>Dangerous</v>
      </c>
      <c r="E110" s="315">
        <v>0</v>
      </c>
      <c r="F110" s="315">
        <v>0</v>
      </c>
      <c r="G110" s="315">
        <v>0</v>
      </c>
      <c r="H110" s="315">
        <v>0</v>
      </c>
      <c r="I110" s="315">
        <v>0</v>
      </c>
      <c r="J110" s="315">
        <v>0</v>
      </c>
      <c r="K110" s="315">
        <v>0</v>
      </c>
      <c r="L110" s="315">
        <v>0</v>
      </c>
      <c r="M110" s="315">
        <v>15</v>
      </c>
      <c r="N110" s="315">
        <v>0</v>
      </c>
      <c r="O110" s="315">
        <f t="shared" si="78"/>
        <v>2</v>
      </c>
      <c r="P110" s="315">
        <f t="shared" si="79"/>
        <v>-8</v>
      </c>
      <c r="Q110" s="315" t="str">
        <f t="shared" si="80"/>
        <v>Fur/Feathers</v>
      </c>
      <c r="R110" s="315" t="str">
        <f t="shared" si="81"/>
        <v>Fur/Feathers</v>
      </c>
      <c r="S110" s="315" t="str">
        <f t="shared" si="82"/>
        <v>Fur/Feathers</v>
      </c>
      <c r="T110" s="315" t="str">
        <f t="shared" si="83"/>
        <v>Fur/Feathers</v>
      </c>
      <c r="U110" s="315" t="str">
        <f t="shared" si="84"/>
        <v>Fur/Feathers</v>
      </c>
      <c r="V110" s="315" t="str">
        <f t="shared" si="85"/>
        <v>Fur/Feathers</v>
      </c>
      <c r="W110" s="313" t="s">
        <v>2542</v>
      </c>
      <c r="X110" s="313" t="s">
        <v>2529</v>
      </c>
      <c r="Y110" s="313" t="s">
        <v>2543</v>
      </c>
      <c r="Z110" s="313" t="s">
        <v>2543</v>
      </c>
      <c r="AA110" s="313"/>
      <c r="AB110" s="313"/>
      <c r="AC110" s="313"/>
      <c r="AD110" s="315">
        <f t="shared" si="74"/>
        <v>10</v>
      </c>
      <c r="AE110" s="315">
        <f t="shared" si="86"/>
        <v>10</v>
      </c>
      <c r="AF110" s="313"/>
      <c r="AG110" s="313"/>
      <c r="AH110" s="313" t="s">
        <v>2544</v>
      </c>
      <c r="AI110" s="313"/>
      <c r="AJ110" s="313"/>
      <c r="AK110" s="313"/>
      <c r="AL110" s="313"/>
      <c r="AM110" s="313"/>
      <c r="AN110" s="313"/>
      <c r="AO110" s="313"/>
      <c r="AP110" s="313"/>
      <c r="AQ110" s="313"/>
      <c r="AR110" s="313"/>
      <c r="AS110" s="313"/>
      <c r="AT110" s="313"/>
      <c r="AU110" s="313"/>
      <c r="AV110" s="313"/>
      <c r="AX110" s="315">
        <f t="shared" si="87"/>
        <v>90</v>
      </c>
      <c r="AY110" s="315">
        <f t="shared" si="88"/>
        <v>0</v>
      </c>
      <c r="AZ110" s="313" t="s">
        <v>2117</v>
      </c>
      <c r="BA110" s="313" t="s">
        <v>2115</v>
      </c>
      <c r="BB110" s="313" t="s">
        <v>2116</v>
      </c>
      <c r="BC110" s="313" t="s">
        <v>2486</v>
      </c>
      <c r="BD110" s="315" t="s">
        <v>2547</v>
      </c>
      <c r="BE110" s="313" t="s">
        <v>2480</v>
      </c>
      <c r="BF110" s="315">
        <v>2</v>
      </c>
      <c r="BG110" s="313" t="s">
        <v>2548</v>
      </c>
      <c r="BH110" s="313">
        <v>5</v>
      </c>
      <c r="BI110" s="313">
        <v>90</v>
      </c>
      <c r="BJ110" s="313" t="s">
        <v>2559</v>
      </c>
      <c r="BK110" s="313">
        <v>-4</v>
      </c>
      <c r="BL110" s="313">
        <v>3</v>
      </c>
      <c r="BM110" s="313">
        <v>6</v>
      </c>
      <c r="BN110" s="313">
        <v>1</v>
      </c>
      <c r="BO110" s="313">
        <v>0</v>
      </c>
      <c r="BP110" s="313"/>
    </row>
    <row r="111" spans="1:68">
      <c r="A111" s="313" t="s">
        <v>2425</v>
      </c>
      <c r="B111" s="315">
        <f t="shared" si="75"/>
        <v>1</v>
      </c>
      <c r="C111" s="313" t="str">
        <f t="shared" si="76"/>
        <v>Carnivore</v>
      </c>
      <c r="D111" s="313" t="str">
        <f t="shared" si="77"/>
        <v>Dangerous</v>
      </c>
      <c r="E111" s="315">
        <v>0</v>
      </c>
      <c r="F111" s="315">
        <v>0</v>
      </c>
      <c r="G111" s="315">
        <v>0</v>
      </c>
      <c r="H111" s="315">
        <v>0</v>
      </c>
      <c r="I111" s="315">
        <v>0</v>
      </c>
      <c r="J111" s="315">
        <v>0</v>
      </c>
      <c r="K111" s="315">
        <v>0</v>
      </c>
      <c r="L111" s="315">
        <v>0</v>
      </c>
      <c r="M111" s="315">
        <v>15</v>
      </c>
      <c r="N111" s="315">
        <v>0</v>
      </c>
      <c r="O111" s="315">
        <f t="shared" si="78"/>
        <v>1</v>
      </c>
      <c r="P111" s="315">
        <f t="shared" si="79"/>
        <v>-10</v>
      </c>
      <c r="Q111" s="315" t="str">
        <f t="shared" si="80"/>
        <v>Exoskeleton</v>
      </c>
      <c r="R111" s="315" t="str">
        <f t="shared" si="81"/>
        <v>Exoskeleton</v>
      </c>
      <c r="S111" s="315" t="str">
        <f t="shared" si="82"/>
        <v>Exoskeleton</v>
      </c>
      <c r="T111" s="315" t="str">
        <f t="shared" si="83"/>
        <v>Exoskeleton</v>
      </c>
      <c r="U111" s="315" t="str">
        <f t="shared" si="84"/>
        <v>Exoskeleton</v>
      </c>
      <c r="V111" s="315" t="str">
        <f t="shared" si="85"/>
        <v>Exoskeleton</v>
      </c>
      <c r="W111" s="313" t="s">
        <v>2557</v>
      </c>
      <c r="X111" s="313" t="s">
        <v>2529</v>
      </c>
      <c r="Y111" s="313"/>
      <c r="Z111" s="313"/>
      <c r="AA111" s="313"/>
      <c r="AB111" s="313"/>
      <c r="AC111" s="313"/>
      <c r="AD111" s="315">
        <f t="shared" si="74"/>
        <v>10</v>
      </c>
      <c r="AE111" s="315">
        <f t="shared" si="86"/>
        <v>10</v>
      </c>
      <c r="AF111" s="313"/>
      <c r="AG111" s="313"/>
      <c r="AH111" s="313" t="s">
        <v>2544</v>
      </c>
      <c r="AI111" s="313"/>
      <c r="AJ111" s="313"/>
      <c r="AK111" s="313"/>
      <c r="AL111" s="313"/>
      <c r="AM111" s="313"/>
      <c r="AN111" s="313"/>
      <c r="AO111" s="313"/>
      <c r="AP111" s="313"/>
      <c r="AQ111" s="313"/>
      <c r="AR111" s="313"/>
      <c r="AS111" s="313"/>
      <c r="AT111" s="313"/>
      <c r="AU111" s="313"/>
      <c r="AV111" s="313"/>
      <c r="AX111" s="315">
        <f t="shared" si="87"/>
        <v>50</v>
      </c>
      <c r="AY111" s="315">
        <f t="shared" si="88"/>
        <v>0</v>
      </c>
      <c r="AZ111" s="313" t="s">
        <v>2117</v>
      </c>
      <c r="BA111" s="313" t="s">
        <v>2259</v>
      </c>
      <c r="BB111" s="313" t="s">
        <v>2425</v>
      </c>
      <c r="BC111" s="313" t="s">
        <v>2486</v>
      </c>
      <c r="BD111" s="315">
        <v>1</v>
      </c>
      <c r="BE111" s="313" t="s">
        <v>2480</v>
      </c>
      <c r="BF111" s="315">
        <v>1</v>
      </c>
      <c r="BG111" s="313" t="s">
        <v>2548</v>
      </c>
      <c r="BH111" s="313">
        <v>0.05</v>
      </c>
      <c r="BI111" s="313">
        <v>50</v>
      </c>
      <c r="BJ111" s="313" t="s">
        <v>2545</v>
      </c>
      <c r="BK111" s="313">
        <v>-5</v>
      </c>
      <c r="BL111" s="313">
        <v>1</v>
      </c>
      <c r="BM111" s="313">
        <v>2</v>
      </c>
      <c r="BN111" s="313">
        <v>1</v>
      </c>
      <c r="BO111" s="313">
        <v>0</v>
      </c>
      <c r="BP111" s="313"/>
    </row>
    <row r="112" spans="1:68">
      <c r="A112" s="313" t="s">
        <v>2118</v>
      </c>
      <c r="B112" s="315" t="str">
        <f t="shared" si="75"/>
        <v>6D10</v>
      </c>
      <c r="C112" s="313" t="str">
        <f t="shared" si="76"/>
        <v>Herbivore</v>
      </c>
      <c r="D112" s="313" t="str">
        <f t="shared" si="77"/>
        <v>Non-threatening</v>
      </c>
      <c r="E112" s="315">
        <v>0</v>
      </c>
      <c r="F112" s="315">
        <v>0</v>
      </c>
      <c r="G112" s="315">
        <v>0</v>
      </c>
      <c r="H112" s="315">
        <v>0</v>
      </c>
      <c r="I112" s="315">
        <v>0</v>
      </c>
      <c r="J112" s="315">
        <v>0</v>
      </c>
      <c r="K112" s="315">
        <v>0</v>
      </c>
      <c r="L112" s="315">
        <v>0</v>
      </c>
      <c r="M112" s="315">
        <v>15</v>
      </c>
      <c r="N112" s="315">
        <v>0</v>
      </c>
      <c r="O112" s="315">
        <f t="shared" si="78"/>
        <v>2</v>
      </c>
      <c r="P112" s="315">
        <f t="shared" si="79"/>
        <v>-3</v>
      </c>
      <c r="Q112" s="315" t="str">
        <f t="shared" si="80"/>
        <v>Fur/Feathers</v>
      </c>
      <c r="R112" s="315" t="str">
        <f t="shared" si="81"/>
        <v>Fur/Feathers</v>
      </c>
      <c r="S112" s="315" t="str">
        <f t="shared" si="82"/>
        <v>Fur/Feathers</v>
      </c>
      <c r="T112" s="315" t="str">
        <f t="shared" si="83"/>
        <v>Fur/Feathers</v>
      </c>
      <c r="U112" s="315" t="str">
        <f t="shared" si="84"/>
        <v>Fur/Feathers</v>
      </c>
      <c r="V112" s="315" t="str">
        <f t="shared" si="85"/>
        <v>Fur/Feathers</v>
      </c>
      <c r="W112" s="313" t="s">
        <v>2549</v>
      </c>
      <c r="X112" s="313" t="s">
        <v>2485</v>
      </c>
      <c r="Y112" s="313"/>
      <c r="Z112" s="313"/>
      <c r="AA112" s="313"/>
      <c r="AB112" s="313"/>
      <c r="AC112" s="313"/>
      <c r="AD112" s="315">
        <f t="shared" si="74"/>
        <v>5</v>
      </c>
      <c r="AE112" s="315">
        <f t="shared" si="86"/>
        <v>5</v>
      </c>
      <c r="AF112" s="313"/>
      <c r="AG112" s="313"/>
      <c r="AH112" s="313"/>
      <c r="AI112" s="313"/>
      <c r="AJ112" s="313"/>
      <c r="AK112" s="313"/>
      <c r="AL112" s="313"/>
      <c r="AM112" s="313"/>
      <c r="AN112" s="313"/>
      <c r="AO112" s="313"/>
      <c r="AP112" s="313"/>
      <c r="AQ112" s="313"/>
      <c r="AR112" s="313"/>
      <c r="AS112" s="313"/>
      <c r="AT112" s="313"/>
      <c r="AU112" s="313"/>
      <c r="AV112" s="313"/>
      <c r="AX112" s="315">
        <f t="shared" si="87"/>
        <v>80</v>
      </c>
      <c r="AY112" s="315">
        <f t="shared" si="88"/>
        <v>0</v>
      </c>
      <c r="AZ112" s="313" t="s">
        <v>2117</v>
      </c>
      <c r="BA112" s="313" t="s">
        <v>2259</v>
      </c>
      <c r="BB112" s="313" t="s">
        <v>2118</v>
      </c>
      <c r="BC112" s="313" t="s">
        <v>2478</v>
      </c>
      <c r="BD112" s="315" t="s">
        <v>2558</v>
      </c>
      <c r="BE112" s="313" t="s">
        <v>2488</v>
      </c>
      <c r="BF112" s="315">
        <v>2</v>
      </c>
      <c r="BG112" s="313" t="s">
        <v>2491</v>
      </c>
      <c r="BH112" s="313">
        <v>45</v>
      </c>
      <c r="BI112" s="313">
        <v>80</v>
      </c>
      <c r="BJ112" s="313" t="s">
        <v>2560</v>
      </c>
      <c r="BK112" s="313">
        <v>0</v>
      </c>
      <c r="BL112" s="313">
        <v>1</v>
      </c>
      <c r="BM112" s="313">
        <v>2</v>
      </c>
      <c r="BN112" s="313">
        <v>0</v>
      </c>
      <c r="BO112" s="313">
        <v>0</v>
      </c>
      <c r="BP112" s="313"/>
    </row>
    <row r="113" spans="1:68">
      <c r="A113" s="313" t="s">
        <v>2426</v>
      </c>
      <c r="B113" s="315" t="str">
        <f t="shared" si="75"/>
        <v>2D10</v>
      </c>
      <c r="C113" s="313" t="str">
        <f t="shared" si="76"/>
        <v>Herbivore</v>
      </c>
      <c r="D113" s="313" t="str">
        <f t="shared" si="77"/>
        <v>Non-threatening</v>
      </c>
      <c r="E113" s="315">
        <v>0</v>
      </c>
      <c r="F113" s="315">
        <v>0</v>
      </c>
      <c r="G113" s="315">
        <v>0</v>
      </c>
      <c r="H113" s="315">
        <v>0</v>
      </c>
      <c r="I113" s="315">
        <v>0</v>
      </c>
      <c r="J113" s="315">
        <v>0</v>
      </c>
      <c r="K113" s="315">
        <v>0</v>
      </c>
      <c r="L113" s="315">
        <v>0</v>
      </c>
      <c r="M113" s="315">
        <v>15</v>
      </c>
      <c r="N113" s="315">
        <v>0</v>
      </c>
      <c r="O113" s="315">
        <f t="shared" si="78"/>
        <v>0</v>
      </c>
      <c r="P113" s="315">
        <f t="shared" si="79"/>
        <v>-11</v>
      </c>
      <c r="Q113" s="315" t="str">
        <f t="shared" si="80"/>
        <v>Skin</v>
      </c>
      <c r="R113" s="315" t="str">
        <f t="shared" si="81"/>
        <v>Skin</v>
      </c>
      <c r="S113" s="315" t="str">
        <f t="shared" si="82"/>
        <v>Skin</v>
      </c>
      <c r="T113" s="315" t="str">
        <f t="shared" si="83"/>
        <v>Skin</v>
      </c>
      <c r="U113" s="315" t="str">
        <f t="shared" si="84"/>
        <v>Skin</v>
      </c>
      <c r="V113" s="315" t="str">
        <f t="shared" si="85"/>
        <v>Skin</v>
      </c>
      <c r="W113" s="313" t="s">
        <v>2552</v>
      </c>
      <c r="X113" s="313" t="s">
        <v>2529</v>
      </c>
      <c r="Y113" s="313"/>
      <c r="Z113" s="313"/>
      <c r="AA113" s="313"/>
      <c r="AB113" s="313"/>
      <c r="AC113" s="313"/>
      <c r="AD113" s="315">
        <f t="shared" si="74"/>
        <v>5</v>
      </c>
      <c r="AE113" s="315">
        <f t="shared" si="86"/>
        <v>5</v>
      </c>
      <c r="AF113" s="313"/>
      <c r="AG113" s="313"/>
      <c r="AH113" s="313"/>
      <c r="AI113" s="313"/>
      <c r="AJ113" s="313"/>
      <c r="AK113" s="313"/>
      <c r="AL113" s="313"/>
      <c r="AM113" s="313"/>
      <c r="AN113" s="313"/>
      <c r="AO113" s="313"/>
      <c r="AP113" s="313"/>
      <c r="AQ113" s="313"/>
      <c r="AR113" s="313"/>
      <c r="AS113" s="313"/>
      <c r="AT113" s="313"/>
      <c r="AU113" s="313"/>
      <c r="AV113" s="313"/>
      <c r="AX113" s="315">
        <f t="shared" si="87"/>
        <v>1</v>
      </c>
      <c r="AY113" s="315" t="str">
        <f t="shared" si="88"/>
        <v>Yes</v>
      </c>
      <c r="AZ113" s="313" t="s">
        <v>2117</v>
      </c>
      <c r="BA113" s="313" t="s">
        <v>2427</v>
      </c>
      <c r="BB113" s="313" t="s">
        <v>2426</v>
      </c>
      <c r="BC113" s="313" t="s">
        <v>2478</v>
      </c>
      <c r="BD113" s="315" t="s">
        <v>2550</v>
      </c>
      <c r="BE113" s="313" t="s">
        <v>2488</v>
      </c>
      <c r="BF113" s="315">
        <v>0</v>
      </c>
      <c r="BG113" s="313" t="s">
        <v>2491</v>
      </c>
      <c r="BH113" s="313">
        <v>1E-3</v>
      </c>
      <c r="BI113" s="313">
        <v>1</v>
      </c>
      <c r="BJ113" s="313" t="s">
        <v>2475</v>
      </c>
      <c r="BK113" s="313">
        <v>-8</v>
      </c>
      <c r="BL113" s="313">
        <v>0</v>
      </c>
      <c r="BM113" s="313">
        <v>1</v>
      </c>
      <c r="BN113" s="313">
        <v>0</v>
      </c>
      <c r="BO113" s="313">
        <v>0</v>
      </c>
      <c r="BP113" s="313" t="s">
        <v>2528</v>
      </c>
    </row>
    <row r="114" spans="1:68">
      <c r="A114" s="313" t="s">
        <v>616</v>
      </c>
      <c r="B114" s="315" t="str">
        <f t="shared" si="75"/>
        <v>No Stats</v>
      </c>
      <c r="C114" s="313" t="str">
        <f t="shared" si="76"/>
        <v>Carnivore</v>
      </c>
      <c r="D114" s="313">
        <f t="shared" si="77"/>
        <v>0</v>
      </c>
      <c r="E114" s="315">
        <v>0</v>
      </c>
      <c r="F114" s="315">
        <v>0</v>
      </c>
      <c r="G114" s="315">
        <v>0</v>
      </c>
      <c r="H114" s="315">
        <v>0</v>
      </c>
      <c r="I114" s="315">
        <v>0</v>
      </c>
      <c r="J114" s="315">
        <v>0</v>
      </c>
      <c r="K114" s="315">
        <v>0</v>
      </c>
      <c r="L114" s="315">
        <v>0</v>
      </c>
      <c r="M114" s="315">
        <v>15</v>
      </c>
      <c r="N114" s="315">
        <v>0</v>
      </c>
      <c r="O114" s="315">
        <f t="shared" si="78"/>
        <v>0</v>
      </c>
      <c r="P114" s="315" t="e">
        <f t="shared" si="79"/>
        <v>#N/A</v>
      </c>
      <c r="Q114" s="315">
        <f t="shared" si="80"/>
        <v>0</v>
      </c>
      <c r="R114" s="315">
        <f t="shared" si="81"/>
        <v>0</v>
      </c>
      <c r="S114" s="315">
        <f t="shared" si="82"/>
        <v>0</v>
      </c>
      <c r="T114" s="315">
        <f t="shared" si="83"/>
        <v>0</v>
      </c>
      <c r="U114" s="315">
        <f t="shared" si="84"/>
        <v>0</v>
      </c>
      <c r="V114" s="315">
        <f t="shared" si="85"/>
        <v>0</v>
      </c>
      <c r="W114" s="313" t="s">
        <v>2551</v>
      </c>
      <c r="X114" s="313"/>
      <c r="Y114" s="313"/>
      <c r="Z114" s="313"/>
      <c r="AA114" s="313"/>
      <c r="AB114" s="313"/>
      <c r="AC114" s="313"/>
      <c r="AD114" s="315" t="b">
        <f t="shared" si="74"/>
        <v>0</v>
      </c>
      <c r="AE114" s="315" t="b">
        <f t="shared" si="86"/>
        <v>0</v>
      </c>
      <c r="AF114" s="313"/>
      <c r="AG114" s="313"/>
      <c r="AH114" s="313"/>
      <c r="AI114" s="313"/>
      <c r="AJ114" s="313"/>
      <c r="AK114" s="313"/>
      <c r="AL114" s="313"/>
      <c r="AM114" s="313"/>
      <c r="AN114" s="313"/>
      <c r="AO114" s="313"/>
      <c r="AP114" s="313"/>
      <c r="AQ114" s="313"/>
      <c r="AR114" s="313"/>
      <c r="AS114" s="313"/>
      <c r="AT114" s="313"/>
      <c r="AU114" s="313"/>
      <c r="AV114" s="313"/>
      <c r="AX114" s="315">
        <f t="shared" si="87"/>
        <v>0</v>
      </c>
      <c r="AY114" s="315">
        <f t="shared" si="88"/>
        <v>0</v>
      </c>
      <c r="AZ114" s="313" t="s">
        <v>2117</v>
      </c>
      <c r="BA114" s="313" t="s">
        <v>617</v>
      </c>
      <c r="BB114" s="313" t="s">
        <v>616</v>
      </c>
      <c r="BC114" s="313" t="s">
        <v>2486</v>
      </c>
      <c r="BD114" s="315" t="s">
        <v>2554</v>
      </c>
      <c r="BE114" s="313"/>
      <c r="BG114" s="313"/>
      <c r="BH114" s="313"/>
      <c r="BI114" s="313"/>
      <c r="BJ114" s="313"/>
      <c r="BK114" s="313"/>
      <c r="BL114" s="313"/>
      <c r="BM114" s="313"/>
      <c r="BN114" s="313"/>
      <c r="BO114" s="313"/>
      <c r="BP114" s="313"/>
    </row>
    <row r="115" spans="1:68">
      <c r="A115" s="313" t="s">
        <v>792</v>
      </c>
      <c r="B115" s="315" t="str">
        <f t="shared" si="75"/>
        <v>No Stats</v>
      </c>
      <c r="C115" s="313" t="str">
        <f t="shared" si="76"/>
        <v>Carnivore</v>
      </c>
      <c r="D115" s="313">
        <f t="shared" si="77"/>
        <v>0</v>
      </c>
      <c r="E115" s="315">
        <v>0</v>
      </c>
      <c r="F115" s="315">
        <v>0</v>
      </c>
      <c r="G115" s="315">
        <v>0</v>
      </c>
      <c r="H115" s="315">
        <v>0</v>
      </c>
      <c r="I115" s="315">
        <v>0</v>
      </c>
      <c r="J115" s="315">
        <v>0</v>
      </c>
      <c r="K115" s="315">
        <v>0</v>
      </c>
      <c r="L115" s="315">
        <v>0</v>
      </c>
      <c r="M115" s="315">
        <v>15</v>
      </c>
      <c r="N115" s="315">
        <v>0</v>
      </c>
      <c r="O115" s="315">
        <f t="shared" si="78"/>
        <v>0</v>
      </c>
      <c r="P115" s="315" t="e">
        <f t="shared" si="79"/>
        <v>#N/A</v>
      </c>
      <c r="Q115" s="315">
        <f t="shared" si="80"/>
        <v>0</v>
      </c>
      <c r="R115" s="315">
        <f t="shared" si="81"/>
        <v>0</v>
      </c>
      <c r="S115" s="315">
        <f t="shared" si="82"/>
        <v>0</v>
      </c>
      <c r="T115" s="315">
        <f t="shared" si="83"/>
        <v>0</v>
      </c>
      <c r="U115" s="315">
        <f t="shared" si="84"/>
        <v>0</v>
      </c>
      <c r="V115" s="315">
        <f t="shared" si="85"/>
        <v>0</v>
      </c>
      <c r="W115" s="313" t="s">
        <v>2586</v>
      </c>
      <c r="X115" s="313"/>
      <c r="Y115" s="313"/>
      <c r="Z115" s="313"/>
      <c r="AA115" s="313"/>
      <c r="AB115" s="313"/>
      <c r="AC115" s="313"/>
      <c r="AD115" s="315" t="b">
        <f t="shared" si="74"/>
        <v>0</v>
      </c>
      <c r="AE115" s="315" t="b">
        <f t="shared" si="86"/>
        <v>0</v>
      </c>
      <c r="AF115" s="313"/>
      <c r="AG115" s="313"/>
      <c r="AH115" s="313"/>
      <c r="AI115" s="313"/>
      <c r="AJ115" s="313"/>
      <c r="AK115" s="313"/>
      <c r="AL115" s="313"/>
      <c r="AM115" s="313"/>
      <c r="AN115" s="313"/>
      <c r="AO115" s="313"/>
      <c r="AP115" s="313"/>
      <c r="AQ115" s="313"/>
      <c r="AR115" s="313"/>
      <c r="AS115" s="313"/>
      <c r="AT115" s="313"/>
      <c r="AU115" s="313"/>
      <c r="AV115" s="313"/>
      <c r="AX115" s="315">
        <f t="shared" si="87"/>
        <v>0</v>
      </c>
      <c r="AY115" s="315">
        <f t="shared" si="88"/>
        <v>0</v>
      </c>
      <c r="AZ115" s="313" t="s">
        <v>2117</v>
      </c>
      <c r="BA115" s="313" t="s">
        <v>793</v>
      </c>
      <c r="BB115" s="313" t="s">
        <v>792</v>
      </c>
      <c r="BC115" s="313" t="s">
        <v>2486</v>
      </c>
      <c r="BD115" s="315" t="s">
        <v>2554</v>
      </c>
      <c r="BE115" s="313"/>
      <c r="BG115" s="313"/>
      <c r="BH115" s="313"/>
      <c r="BI115" s="313"/>
      <c r="BJ115" s="313"/>
      <c r="BK115" s="313"/>
      <c r="BL115" s="313"/>
      <c r="BM115" s="313"/>
      <c r="BN115" s="313"/>
      <c r="BO115" s="313"/>
      <c r="BP115" s="313"/>
    </row>
    <row r="116" spans="1:68">
      <c r="A116" s="313" t="s">
        <v>912</v>
      </c>
      <c r="B116" s="315" t="str">
        <f t="shared" ref="B116:B145" si="89">BD116</f>
        <v>No Stats</v>
      </c>
      <c r="C116" s="313" t="str">
        <f t="shared" ref="C116:C145" si="90">BC116</f>
        <v>Carnivore</v>
      </c>
      <c r="D116" s="313">
        <f t="shared" ref="D116:D145" si="91">BE116</f>
        <v>0</v>
      </c>
      <c r="E116" s="315">
        <v>0</v>
      </c>
      <c r="F116" s="315">
        <v>0</v>
      </c>
      <c r="G116" s="315">
        <v>0</v>
      </c>
      <c r="H116" s="315">
        <v>0</v>
      </c>
      <c r="I116" s="315">
        <v>0</v>
      </c>
      <c r="J116" s="315">
        <v>0</v>
      </c>
      <c r="K116" s="315">
        <v>0</v>
      </c>
      <c r="L116" s="315">
        <v>0</v>
      </c>
      <c r="M116" s="315">
        <v>15</v>
      </c>
      <c r="N116" s="315">
        <v>0</v>
      </c>
      <c r="O116" s="315">
        <f t="shared" ref="O116:O145" si="92">BF116</f>
        <v>0</v>
      </c>
      <c r="P116" s="315" t="e">
        <f t="shared" ref="P116:P145" si="93">LOOKUP(BH116,$BU$54:$BU$71,$BS$54:$BS$71)</f>
        <v>#N/A</v>
      </c>
      <c r="Q116" s="315">
        <f t="shared" ref="Q116:Q145" si="94">BJ116</f>
        <v>0</v>
      </c>
      <c r="R116" s="315">
        <f t="shared" ref="R116:R145" si="95">Q116</f>
        <v>0</v>
      </c>
      <c r="S116" s="315">
        <f t="shared" ref="S116:S145" si="96">Q116</f>
        <v>0</v>
      </c>
      <c r="T116" s="315">
        <f t="shared" ref="T116:T145" si="97">Q116</f>
        <v>0</v>
      </c>
      <c r="U116" s="315">
        <f t="shared" ref="U116:U145" si="98">Q116</f>
        <v>0</v>
      </c>
      <c r="V116" s="315">
        <f t="shared" ref="V116:V145" si="99">Q116</f>
        <v>0</v>
      </c>
      <c r="W116" s="313" t="s">
        <v>2583</v>
      </c>
      <c r="X116" s="313"/>
      <c r="Y116" s="313"/>
      <c r="Z116" s="313"/>
      <c r="AA116" s="313"/>
      <c r="AB116" s="313"/>
      <c r="AC116" s="313"/>
      <c r="AD116" s="315" t="b">
        <f t="shared" si="74"/>
        <v>0</v>
      </c>
      <c r="AE116" s="315" t="b">
        <f t="shared" ref="AE116:AE145" si="100">AD116</f>
        <v>0</v>
      </c>
      <c r="AF116" s="313"/>
      <c r="AG116" s="313"/>
      <c r="AH116" s="313"/>
      <c r="AI116" s="313"/>
      <c r="AJ116" s="313"/>
      <c r="AK116" s="313"/>
      <c r="AL116" s="313"/>
      <c r="AM116" s="313"/>
      <c r="AN116" s="313"/>
      <c r="AO116" s="313"/>
      <c r="AP116" s="313"/>
      <c r="AQ116" s="313"/>
      <c r="AR116" s="313"/>
      <c r="AS116" s="313"/>
      <c r="AT116" s="313"/>
      <c r="AU116" s="313"/>
      <c r="AV116" s="313"/>
      <c r="AX116" s="315">
        <f t="shared" ref="AX116:AX145" si="101">BI116</f>
        <v>0</v>
      </c>
      <c r="AY116" s="315">
        <f t="shared" ref="AY116:AY145" si="102">BP116</f>
        <v>0</v>
      </c>
      <c r="AZ116" s="313" t="s">
        <v>2117</v>
      </c>
      <c r="BA116" s="313" t="s">
        <v>793</v>
      </c>
      <c r="BB116" s="313" t="s">
        <v>912</v>
      </c>
      <c r="BC116" s="313" t="s">
        <v>2486</v>
      </c>
      <c r="BD116" s="315" t="s">
        <v>2554</v>
      </c>
      <c r="BE116" s="313"/>
      <c r="BG116" s="313"/>
      <c r="BH116" s="313"/>
      <c r="BI116" s="313"/>
      <c r="BJ116" s="313"/>
      <c r="BK116" s="313"/>
      <c r="BL116" s="313"/>
      <c r="BM116" s="313"/>
      <c r="BN116" s="313"/>
      <c r="BO116" s="313"/>
      <c r="BP116" s="313"/>
    </row>
    <row r="117" spans="1:68">
      <c r="A117" s="313" t="s">
        <v>2553</v>
      </c>
      <c r="B117" s="315" t="str">
        <f t="shared" si="89"/>
        <v>No Stats</v>
      </c>
      <c r="C117" s="313" t="str">
        <f t="shared" si="90"/>
        <v>Herbivore</v>
      </c>
      <c r="D117" s="313">
        <f t="shared" si="91"/>
        <v>0</v>
      </c>
      <c r="E117" s="315">
        <v>0</v>
      </c>
      <c r="F117" s="315">
        <v>0</v>
      </c>
      <c r="G117" s="315">
        <v>0</v>
      </c>
      <c r="H117" s="315">
        <v>0</v>
      </c>
      <c r="I117" s="315">
        <v>0</v>
      </c>
      <c r="J117" s="315">
        <v>0</v>
      </c>
      <c r="K117" s="315">
        <v>0</v>
      </c>
      <c r="L117" s="315">
        <v>0</v>
      </c>
      <c r="M117" s="315">
        <v>15</v>
      </c>
      <c r="N117" s="315">
        <v>0</v>
      </c>
      <c r="O117" s="315">
        <f t="shared" si="92"/>
        <v>0</v>
      </c>
      <c r="P117" s="315" t="e">
        <f t="shared" si="93"/>
        <v>#N/A</v>
      </c>
      <c r="Q117" s="315">
        <f t="shared" si="94"/>
        <v>0</v>
      </c>
      <c r="R117" s="315">
        <f t="shared" si="95"/>
        <v>0</v>
      </c>
      <c r="S117" s="315">
        <f t="shared" si="96"/>
        <v>0</v>
      </c>
      <c r="T117" s="315">
        <f t="shared" si="97"/>
        <v>0</v>
      </c>
      <c r="U117" s="315">
        <f t="shared" si="98"/>
        <v>0</v>
      </c>
      <c r="V117" s="315">
        <f t="shared" si="99"/>
        <v>0</v>
      </c>
      <c r="W117" s="313" t="s">
        <v>2561</v>
      </c>
      <c r="X117" s="313"/>
      <c r="Y117" s="313"/>
      <c r="Z117" s="313"/>
      <c r="AA117" s="313"/>
      <c r="AB117" s="313"/>
      <c r="AC117" s="313"/>
      <c r="AD117" s="315" t="b">
        <f t="shared" si="74"/>
        <v>0</v>
      </c>
      <c r="AE117" s="315" t="b">
        <f t="shared" si="100"/>
        <v>0</v>
      </c>
      <c r="AF117" s="313"/>
      <c r="AG117" s="313"/>
      <c r="AH117" s="313"/>
      <c r="AI117" s="313"/>
      <c r="AJ117" s="313"/>
      <c r="AK117" s="313"/>
      <c r="AL117" s="313"/>
      <c r="AM117" s="313"/>
      <c r="AN117" s="313"/>
      <c r="AO117" s="313"/>
      <c r="AP117" s="313"/>
      <c r="AQ117" s="313"/>
      <c r="AR117" s="313"/>
      <c r="AS117" s="313"/>
      <c r="AT117" s="313"/>
      <c r="AU117" s="313"/>
      <c r="AV117" s="313"/>
      <c r="AX117" s="315">
        <f t="shared" si="101"/>
        <v>0</v>
      </c>
      <c r="AY117" s="315">
        <f t="shared" si="102"/>
        <v>0</v>
      </c>
      <c r="AZ117" s="313" t="s">
        <v>2117</v>
      </c>
      <c r="BA117" s="313" t="s">
        <v>619</v>
      </c>
      <c r="BB117" s="313" t="s">
        <v>538</v>
      </c>
      <c r="BC117" s="313" t="s">
        <v>2478</v>
      </c>
      <c r="BD117" s="315" t="s">
        <v>2554</v>
      </c>
      <c r="BE117" s="313"/>
      <c r="BG117" s="313"/>
      <c r="BH117" s="313"/>
      <c r="BI117" s="313"/>
      <c r="BJ117" s="313"/>
      <c r="BK117" s="313"/>
      <c r="BL117" s="313"/>
      <c r="BM117" s="313"/>
      <c r="BN117" s="313"/>
      <c r="BO117" s="313"/>
      <c r="BP117" s="313"/>
    </row>
    <row r="118" spans="1:68">
      <c r="A118" s="313" t="s">
        <v>620</v>
      </c>
      <c r="B118" s="315" t="str">
        <f t="shared" si="89"/>
        <v>No Stats</v>
      </c>
      <c r="C118" s="313" t="str">
        <f t="shared" si="90"/>
        <v>Carnivore</v>
      </c>
      <c r="D118" s="313">
        <f t="shared" si="91"/>
        <v>0</v>
      </c>
      <c r="E118" s="315">
        <v>0</v>
      </c>
      <c r="F118" s="315">
        <v>0</v>
      </c>
      <c r="G118" s="315">
        <v>0</v>
      </c>
      <c r="H118" s="315">
        <v>0</v>
      </c>
      <c r="I118" s="315">
        <v>0</v>
      </c>
      <c r="J118" s="315">
        <v>0</v>
      </c>
      <c r="K118" s="315">
        <v>0</v>
      </c>
      <c r="L118" s="315">
        <v>0</v>
      </c>
      <c r="M118" s="315">
        <v>15</v>
      </c>
      <c r="N118" s="315">
        <v>0</v>
      </c>
      <c r="O118" s="315">
        <f t="shared" si="92"/>
        <v>0</v>
      </c>
      <c r="P118" s="315" t="e">
        <f t="shared" si="93"/>
        <v>#N/A</v>
      </c>
      <c r="Q118" s="315">
        <f t="shared" si="94"/>
        <v>0</v>
      </c>
      <c r="R118" s="315">
        <f t="shared" si="95"/>
        <v>0</v>
      </c>
      <c r="S118" s="315">
        <f t="shared" si="96"/>
        <v>0</v>
      </c>
      <c r="T118" s="315">
        <f t="shared" si="97"/>
        <v>0</v>
      </c>
      <c r="U118" s="315">
        <f t="shared" si="98"/>
        <v>0</v>
      </c>
      <c r="V118" s="315">
        <f t="shared" si="99"/>
        <v>0</v>
      </c>
      <c r="W118" s="313" t="s">
        <v>2562</v>
      </c>
      <c r="X118" s="313"/>
      <c r="Y118" s="313"/>
      <c r="Z118" s="313"/>
      <c r="AA118" s="313"/>
      <c r="AB118" s="313"/>
      <c r="AC118" s="313"/>
      <c r="AD118" s="315" t="b">
        <f t="shared" si="74"/>
        <v>0</v>
      </c>
      <c r="AE118" s="315" t="b">
        <f t="shared" si="100"/>
        <v>0</v>
      </c>
      <c r="AF118" s="313"/>
      <c r="AG118" s="313"/>
      <c r="AH118" s="313"/>
      <c r="AI118" s="313"/>
      <c r="AJ118" s="313"/>
      <c r="AK118" s="313"/>
      <c r="AL118" s="313"/>
      <c r="AM118" s="313"/>
      <c r="AN118" s="313"/>
      <c r="AO118" s="313"/>
      <c r="AP118" s="313"/>
      <c r="AQ118" s="313"/>
      <c r="AR118" s="313"/>
      <c r="AS118" s="313"/>
      <c r="AT118" s="313"/>
      <c r="AU118" s="313"/>
      <c r="AV118" s="313"/>
      <c r="AX118" s="315">
        <f t="shared" si="101"/>
        <v>0</v>
      </c>
      <c r="AY118" s="315">
        <f t="shared" si="102"/>
        <v>0</v>
      </c>
      <c r="AZ118" s="313" t="s">
        <v>2117</v>
      </c>
      <c r="BA118" s="313" t="s">
        <v>619</v>
      </c>
      <c r="BB118" s="313" t="s">
        <v>620</v>
      </c>
      <c r="BC118" s="313" t="s">
        <v>2486</v>
      </c>
      <c r="BD118" s="315" t="s">
        <v>2554</v>
      </c>
      <c r="BE118" s="313"/>
      <c r="BG118" s="313"/>
      <c r="BH118" s="313"/>
      <c r="BI118" s="313"/>
      <c r="BJ118" s="313"/>
      <c r="BK118" s="313"/>
      <c r="BL118" s="313"/>
      <c r="BM118" s="313"/>
      <c r="BN118" s="313"/>
      <c r="BO118" s="313"/>
      <c r="BP118" s="313"/>
    </row>
    <row r="119" spans="1:68">
      <c r="A119" s="313" t="s">
        <v>621</v>
      </c>
      <c r="B119" s="315" t="str">
        <f t="shared" si="89"/>
        <v>No Stats</v>
      </c>
      <c r="C119" s="313" t="str">
        <f t="shared" si="90"/>
        <v>Carnivore</v>
      </c>
      <c r="D119" s="313">
        <f t="shared" si="91"/>
        <v>0</v>
      </c>
      <c r="E119" s="315">
        <v>0</v>
      </c>
      <c r="F119" s="315">
        <v>0</v>
      </c>
      <c r="G119" s="315">
        <v>0</v>
      </c>
      <c r="H119" s="315">
        <v>0</v>
      </c>
      <c r="I119" s="315">
        <v>0</v>
      </c>
      <c r="J119" s="315">
        <v>0</v>
      </c>
      <c r="K119" s="315">
        <v>0</v>
      </c>
      <c r="L119" s="315">
        <v>0</v>
      </c>
      <c r="M119" s="315">
        <v>15</v>
      </c>
      <c r="N119" s="315">
        <v>0</v>
      </c>
      <c r="O119" s="315">
        <f t="shared" si="92"/>
        <v>0</v>
      </c>
      <c r="P119" s="315" t="e">
        <f t="shared" si="93"/>
        <v>#N/A</v>
      </c>
      <c r="Q119" s="315">
        <f t="shared" si="94"/>
        <v>0</v>
      </c>
      <c r="R119" s="315">
        <f t="shared" si="95"/>
        <v>0</v>
      </c>
      <c r="S119" s="315">
        <f t="shared" si="96"/>
        <v>0</v>
      </c>
      <c r="T119" s="315">
        <f t="shared" si="97"/>
        <v>0</v>
      </c>
      <c r="U119" s="315">
        <f t="shared" si="98"/>
        <v>0</v>
      </c>
      <c r="V119" s="315">
        <f t="shared" si="99"/>
        <v>0</v>
      </c>
      <c r="W119" s="313" t="s">
        <v>2564</v>
      </c>
      <c r="X119" s="313"/>
      <c r="Y119" s="313"/>
      <c r="Z119" s="313"/>
      <c r="AA119" s="313"/>
      <c r="AB119" s="313"/>
      <c r="AC119" s="313"/>
      <c r="AD119" s="315" t="b">
        <f t="shared" si="74"/>
        <v>0</v>
      </c>
      <c r="AE119" s="315" t="b">
        <f t="shared" si="100"/>
        <v>0</v>
      </c>
      <c r="AF119" s="313"/>
      <c r="AG119" s="313"/>
      <c r="AH119" s="313"/>
      <c r="AI119" s="313"/>
      <c r="AJ119" s="313"/>
      <c r="AK119" s="313"/>
      <c r="AL119" s="313"/>
      <c r="AM119" s="313"/>
      <c r="AN119" s="313"/>
      <c r="AO119" s="313"/>
      <c r="AP119" s="313"/>
      <c r="AQ119" s="313"/>
      <c r="AR119" s="313"/>
      <c r="AS119" s="313"/>
      <c r="AT119" s="313"/>
      <c r="AU119" s="313"/>
      <c r="AV119" s="313"/>
      <c r="AX119" s="315">
        <f t="shared" si="101"/>
        <v>0</v>
      </c>
      <c r="AY119" s="315">
        <f t="shared" si="102"/>
        <v>0</v>
      </c>
      <c r="AZ119" s="313" t="s">
        <v>2117</v>
      </c>
      <c r="BA119" s="313" t="s">
        <v>624</v>
      </c>
      <c r="BB119" s="313" t="s">
        <v>621</v>
      </c>
      <c r="BC119" s="313" t="s">
        <v>2486</v>
      </c>
      <c r="BD119" s="315" t="s">
        <v>2554</v>
      </c>
      <c r="BE119" s="313"/>
      <c r="BG119" s="313"/>
      <c r="BH119" s="313"/>
      <c r="BI119" s="313"/>
      <c r="BJ119" s="313"/>
      <c r="BK119" s="313"/>
      <c r="BL119" s="313"/>
      <c r="BM119" s="313"/>
      <c r="BN119" s="313"/>
      <c r="BO119" s="313"/>
      <c r="BP119" s="313"/>
    </row>
    <row r="120" spans="1:68">
      <c r="A120" s="313" t="s">
        <v>622</v>
      </c>
      <c r="B120" s="315" t="str">
        <f t="shared" si="89"/>
        <v>No Stats</v>
      </c>
      <c r="C120" s="313" t="str">
        <f t="shared" si="90"/>
        <v>Carnivore</v>
      </c>
      <c r="D120" s="313">
        <f t="shared" si="91"/>
        <v>0</v>
      </c>
      <c r="E120" s="315">
        <v>0</v>
      </c>
      <c r="F120" s="315">
        <v>0</v>
      </c>
      <c r="G120" s="315">
        <v>0</v>
      </c>
      <c r="H120" s="315">
        <v>0</v>
      </c>
      <c r="I120" s="315">
        <v>0</v>
      </c>
      <c r="J120" s="315">
        <v>0</v>
      </c>
      <c r="K120" s="315">
        <v>0</v>
      </c>
      <c r="L120" s="315">
        <v>0</v>
      </c>
      <c r="M120" s="315">
        <v>15</v>
      </c>
      <c r="N120" s="315">
        <v>0</v>
      </c>
      <c r="O120" s="315">
        <f t="shared" si="92"/>
        <v>0</v>
      </c>
      <c r="P120" s="315" t="e">
        <f t="shared" si="93"/>
        <v>#N/A</v>
      </c>
      <c r="Q120" s="315">
        <f t="shared" si="94"/>
        <v>0</v>
      </c>
      <c r="R120" s="315">
        <f t="shared" si="95"/>
        <v>0</v>
      </c>
      <c r="S120" s="315">
        <f t="shared" si="96"/>
        <v>0</v>
      </c>
      <c r="T120" s="315">
        <f t="shared" si="97"/>
        <v>0</v>
      </c>
      <c r="U120" s="315">
        <f t="shared" si="98"/>
        <v>0</v>
      </c>
      <c r="V120" s="315">
        <f t="shared" si="99"/>
        <v>0</v>
      </c>
      <c r="W120" s="313" t="s">
        <v>2563</v>
      </c>
      <c r="X120" s="313"/>
      <c r="Y120" s="313"/>
      <c r="Z120" s="313"/>
      <c r="AA120" s="313"/>
      <c r="AB120" s="313"/>
      <c r="AC120" s="313"/>
      <c r="AD120" s="315" t="b">
        <f t="shared" si="74"/>
        <v>0</v>
      </c>
      <c r="AE120" s="315" t="b">
        <f t="shared" si="100"/>
        <v>0</v>
      </c>
      <c r="AF120" s="313"/>
      <c r="AG120" s="313"/>
      <c r="AH120" s="313"/>
      <c r="AI120" s="313"/>
      <c r="AJ120" s="313"/>
      <c r="AK120" s="313"/>
      <c r="AL120" s="313"/>
      <c r="AM120" s="313"/>
      <c r="AN120" s="313"/>
      <c r="AO120" s="313"/>
      <c r="AP120" s="313"/>
      <c r="AQ120" s="313"/>
      <c r="AR120" s="313"/>
      <c r="AS120" s="313"/>
      <c r="AT120" s="313"/>
      <c r="AU120" s="313"/>
      <c r="AV120" s="313"/>
      <c r="AX120" s="315">
        <f t="shared" si="101"/>
        <v>0</v>
      </c>
      <c r="AY120" s="315">
        <f t="shared" si="102"/>
        <v>0</v>
      </c>
      <c r="AZ120" s="313" t="s">
        <v>2117</v>
      </c>
      <c r="BA120" s="313" t="s">
        <v>624</v>
      </c>
      <c r="BB120" s="313" t="s">
        <v>622</v>
      </c>
      <c r="BC120" s="313" t="s">
        <v>2486</v>
      </c>
      <c r="BD120" s="315" t="s">
        <v>2554</v>
      </c>
      <c r="BE120" s="313"/>
      <c r="BG120" s="313"/>
      <c r="BH120" s="313"/>
      <c r="BI120" s="313"/>
      <c r="BJ120" s="313"/>
      <c r="BK120" s="313"/>
      <c r="BL120" s="313"/>
      <c r="BM120" s="313"/>
      <c r="BN120" s="313"/>
      <c r="BO120" s="313"/>
      <c r="BP120" s="313"/>
    </row>
    <row r="121" spans="1:68">
      <c r="A121" s="313" t="s">
        <v>623</v>
      </c>
      <c r="B121" s="315" t="str">
        <f t="shared" si="89"/>
        <v>No Stats</v>
      </c>
      <c r="C121" s="313" t="str">
        <f t="shared" si="90"/>
        <v>Herbivore</v>
      </c>
      <c r="D121" s="313">
        <f t="shared" si="91"/>
        <v>0</v>
      </c>
      <c r="E121" s="315">
        <v>0</v>
      </c>
      <c r="F121" s="315">
        <v>0</v>
      </c>
      <c r="G121" s="315">
        <v>0</v>
      </c>
      <c r="H121" s="315">
        <v>0</v>
      </c>
      <c r="I121" s="315">
        <v>0</v>
      </c>
      <c r="J121" s="315">
        <v>0</v>
      </c>
      <c r="K121" s="315">
        <v>0</v>
      </c>
      <c r="L121" s="315">
        <v>0</v>
      </c>
      <c r="M121" s="315">
        <v>15</v>
      </c>
      <c r="N121" s="315">
        <v>0</v>
      </c>
      <c r="O121" s="315">
        <f t="shared" si="92"/>
        <v>0</v>
      </c>
      <c r="P121" s="315" t="e">
        <f t="shared" si="93"/>
        <v>#N/A</v>
      </c>
      <c r="Q121" s="315">
        <f t="shared" si="94"/>
        <v>0</v>
      </c>
      <c r="R121" s="315">
        <f t="shared" si="95"/>
        <v>0</v>
      </c>
      <c r="S121" s="315">
        <f t="shared" si="96"/>
        <v>0</v>
      </c>
      <c r="T121" s="315">
        <f t="shared" si="97"/>
        <v>0</v>
      </c>
      <c r="U121" s="315">
        <f t="shared" si="98"/>
        <v>0</v>
      </c>
      <c r="V121" s="315">
        <f t="shared" si="99"/>
        <v>0</v>
      </c>
      <c r="W121" s="313" t="s">
        <v>2565</v>
      </c>
      <c r="X121" s="313"/>
      <c r="Y121" s="313"/>
      <c r="Z121" s="313"/>
      <c r="AA121" s="313"/>
      <c r="AB121" s="313"/>
      <c r="AC121" s="313"/>
      <c r="AD121" s="315" t="b">
        <f t="shared" si="74"/>
        <v>0</v>
      </c>
      <c r="AE121" s="315" t="b">
        <f t="shared" si="100"/>
        <v>0</v>
      </c>
      <c r="AF121" s="313"/>
      <c r="AG121" s="313"/>
      <c r="AH121" s="313"/>
      <c r="AI121" s="313"/>
      <c r="AJ121" s="313"/>
      <c r="AK121" s="313"/>
      <c r="AL121" s="313"/>
      <c r="AM121" s="313"/>
      <c r="AN121" s="313"/>
      <c r="AO121" s="313"/>
      <c r="AP121" s="313"/>
      <c r="AQ121" s="313"/>
      <c r="AR121" s="313"/>
      <c r="AS121" s="313"/>
      <c r="AT121" s="313"/>
      <c r="AU121" s="313"/>
      <c r="AV121" s="313"/>
      <c r="AX121" s="315">
        <f t="shared" si="101"/>
        <v>0</v>
      </c>
      <c r="AY121" s="315">
        <f t="shared" si="102"/>
        <v>0</v>
      </c>
      <c r="AZ121" s="313" t="s">
        <v>2117</v>
      </c>
      <c r="BA121" s="313" t="s">
        <v>624</v>
      </c>
      <c r="BB121" s="313" t="s">
        <v>623</v>
      </c>
      <c r="BC121" s="313" t="s">
        <v>2478</v>
      </c>
      <c r="BD121" s="315" t="s">
        <v>2554</v>
      </c>
      <c r="BE121" s="313"/>
      <c r="BG121" s="313"/>
      <c r="BH121" s="313"/>
      <c r="BI121" s="313"/>
      <c r="BJ121" s="313"/>
      <c r="BK121" s="313"/>
      <c r="BL121" s="313"/>
      <c r="BM121" s="313"/>
      <c r="BN121" s="313"/>
      <c r="BO121" s="313"/>
      <c r="BP121" s="313"/>
    </row>
    <row r="122" spans="1:68">
      <c r="A122" s="313" t="s">
        <v>732</v>
      </c>
      <c r="B122" s="315" t="str">
        <f t="shared" si="89"/>
        <v>No Stats</v>
      </c>
      <c r="C122" s="313" t="str">
        <f t="shared" si="90"/>
        <v>Carnivore</v>
      </c>
      <c r="D122" s="313">
        <f t="shared" si="91"/>
        <v>0</v>
      </c>
      <c r="E122" s="315">
        <v>0</v>
      </c>
      <c r="F122" s="315">
        <v>0</v>
      </c>
      <c r="G122" s="315">
        <v>0</v>
      </c>
      <c r="H122" s="315">
        <v>0</v>
      </c>
      <c r="I122" s="315">
        <v>0</v>
      </c>
      <c r="J122" s="315">
        <v>0</v>
      </c>
      <c r="K122" s="315">
        <v>0</v>
      </c>
      <c r="L122" s="315">
        <v>0</v>
      </c>
      <c r="M122" s="315">
        <v>15</v>
      </c>
      <c r="N122" s="315">
        <v>0</v>
      </c>
      <c r="O122" s="315">
        <f t="shared" si="92"/>
        <v>0</v>
      </c>
      <c r="P122" s="315" t="e">
        <f t="shared" si="93"/>
        <v>#N/A</v>
      </c>
      <c r="Q122" s="315">
        <f t="shared" si="94"/>
        <v>0</v>
      </c>
      <c r="R122" s="315">
        <f t="shared" si="95"/>
        <v>0</v>
      </c>
      <c r="S122" s="315">
        <f t="shared" si="96"/>
        <v>0</v>
      </c>
      <c r="T122" s="315">
        <f t="shared" si="97"/>
        <v>0</v>
      </c>
      <c r="U122" s="315">
        <f t="shared" si="98"/>
        <v>0</v>
      </c>
      <c r="V122" s="315">
        <f t="shared" si="99"/>
        <v>0</v>
      </c>
      <c r="W122" s="313" t="s">
        <v>2569</v>
      </c>
      <c r="X122" s="313"/>
      <c r="Y122" s="313"/>
      <c r="Z122" s="313"/>
      <c r="AA122" s="313"/>
      <c r="AB122" s="313"/>
      <c r="AC122" s="313"/>
      <c r="AD122" s="315" t="b">
        <f t="shared" si="74"/>
        <v>0</v>
      </c>
      <c r="AE122" s="315" t="b">
        <f t="shared" si="100"/>
        <v>0</v>
      </c>
      <c r="AF122" s="313"/>
      <c r="AG122" s="313"/>
      <c r="AH122" s="313"/>
      <c r="AI122" s="313"/>
      <c r="AJ122" s="313"/>
      <c r="AK122" s="313"/>
      <c r="AL122" s="313"/>
      <c r="AM122" s="313"/>
      <c r="AN122" s="313"/>
      <c r="AO122" s="313"/>
      <c r="AP122" s="313"/>
      <c r="AQ122" s="313"/>
      <c r="AR122" s="313"/>
      <c r="AS122" s="313"/>
      <c r="AT122" s="313"/>
      <c r="AU122" s="313"/>
      <c r="AV122" s="313"/>
      <c r="AX122" s="315">
        <f t="shared" si="101"/>
        <v>0</v>
      </c>
      <c r="AY122" s="315">
        <f t="shared" si="102"/>
        <v>0</v>
      </c>
      <c r="AZ122" s="313" t="s">
        <v>2117</v>
      </c>
      <c r="BA122" s="313" t="s">
        <v>610</v>
      </c>
      <c r="BB122" s="313" t="s">
        <v>732</v>
      </c>
      <c r="BC122" s="313" t="s">
        <v>2486</v>
      </c>
      <c r="BD122" s="315" t="s">
        <v>2554</v>
      </c>
      <c r="BE122" s="313"/>
      <c r="BG122" s="313"/>
      <c r="BH122" s="313"/>
      <c r="BI122" s="313"/>
      <c r="BJ122" s="313"/>
      <c r="BK122" s="313"/>
      <c r="BL122" s="313"/>
      <c r="BM122" s="313"/>
      <c r="BN122" s="313"/>
      <c r="BO122" s="313"/>
      <c r="BP122" s="313"/>
    </row>
    <row r="123" spans="1:68">
      <c r="A123" s="313" t="s">
        <v>731</v>
      </c>
      <c r="B123" s="315" t="str">
        <f t="shared" si="89"/>
        <v>No Stats</v>
      </c>
      <c r="C123" s="313" t="str">
        <f t="shared" si="90"/>
        <v>Carnivore</v>
      </c>
      <c r="D123" s="313">
        <f t="shared" si="91"/>
        <v>0</v>
      </c>
      <c r="E123" s="315">
        <v>0</v>
      </c>
      <c r="F123" s="315">
        <v>0</v>
      </c>
      <c r="G123" s="315">
        <v>0</v>
      </c>
      <c r="H123" s="315">
        <v>0</v>
      </c>
      <c r="I123" s="315">
        <v>0</v>
      </c>
      <c r="J123" s="315">
        <v>0</v>
      </c>
      <c r="K123" s="315">
        <v>0</v>
      </c>
      <c r="L123" s="315">
        <v>0</v>
      </c>
      <c r="M123" s="315">
        <v>15</v>
      </c>
      <c r="N123" s="315">
        <v>0</v>
      </c>
      <c r="O123" s="315">
        <f t="shared" si="92"/>
        <v>0</v>
      </c>
      <c r="P123" s="315" t="e">
        <f t="shared" si="93"/>
        <v>#N/A</v>
      </c>
      <c r="Q123" s="315">
        <f t="shared" si="94"/>
        <v>0</v>
      </c>
      <c r="R123" s="315">
        <f t="shared" si="95"/>
        <v>0</v>
      </c>
      <c r="S123" s="315">
        <f t="shared" si="96"/>
        <v>0</v>
      </c>
      <c r="T123" s="315">
        <f t="shared" si="97"/>
        <v>0</v>
      </c>
      <c r="U123" s="315">
        <f t="shared" si="98"/>
        <v>0</v>
      </c>
      <c r="V123" s="315">
        <f t="shared" si="99"/>
        <v>0</v>
      </c>
      <c r="W123" s="313" t="s">
        <v>2566</v>
      </c>
      <c r="X123" s="313"/>
      <c r="Y123" s="313"/>
      <c r="Z123" s="313"/>
      <c r="AA123" s="313"/>
      <c r="AB123" s="313"/>
      <c r="AC123" s="313"/>
      <c r="AD123" s="315" t="b">
        <f t="shared" si="74"/>
        <v>0</v>
      </c>
      <c r="AE123" s="315" t="b">
        <f t="shared" si="100"/>
        <v>0</v>
      </c>
      <c r="AF123" s="313"/>
      <c r="AG123" s="313"/>
      <c r="AH123" s="313"/>
      <c r="AI123" s="313"/>
      <c r="AJ123" s="313"/>
      <c r="AK123" s="313"/>
      <c r="AL123" s="313"/>
      <c r="AM123" s="313"/>
      <c r="AN123" s="313"/>
      <c r="AO123" s="313"/>
      <c r="AP123" s="313"/>
      <c r="AQ123" s="313"/>
      <c r="AR123" s="313"/>
      <c r="AS123" s="313"/>
      <c r="AT123" s="313"/>
      <c r="AU123" s="313"/>
      <c r="AV123" s="313"/>
      <c r="AX123" s="315">
        <f t="shared" si="101"/>
        <v>0</v>
      </c>
      <c r="AY123" s="315">
        <f t="shared" si="102"/>
        <v>0</v>
      </c>
      <c r="AZ123" s="313" t="s">
        <v>2117</v>
      </c>
      <c r="BA123" s="313" t="s">
        <v>610</v>
      </c>
      <c r="BB123" s="313" t="s">
        <v>731</v>
      </c>
      <c r="BC123" s="313" t="s">
        <v>2486</v>
      </c>
      <c r="BD123" s="315" t="s">
        <v>2554</v>
      </c>
      <c r="BE123" s="313"/>
      <c r="BG123" s="313"/>
      <c r="BH123" s="313"/>
      <c r="BI123" s="313"/>
      <c r="BJ123" s="313"/>
      <c r="BK123" s="313"/>
      <c r="BL123" s="313"/>
      <c r="BM123" s="313"/>
      <c r="BN123" s="313"/>
      <c r="BO123" s="313"/>
      <c r="BP123" s="313"/>
    </row>
    <row r="124" spans="1:68">
      <c r="A124" s="313" t="s">
        <v>611</v>
      </c>
      <c r="B124" s="315" t="str">
        <f t="shared" si="89"/>
        <v>No Stats</v>
      </c>
      <c r="C124" s="313" t="str">
        <f t="shared" si="90"/>
        <v>Omnivore</v>
      </c>
      <c r="D124" s="313">
        <f t="shared" si="91"/>
        <v>0</v>
      </c>
      <c r="E124" s="315">
        <v>0</v>
      </c>
      <c r="F124" s="315">
        <v>0</v>
      </c>
      <c r="G124" s="315">
        <v>0</v>
      </c>
      <c r="H124" s="315">
        <v>0</v>
      </c>
      <c r="I124" s="315">
        <v>0</v>
      </c>
      <c r="J124" s="315">
        <v>0</v>
      </c>
      <c r="K124" s="315">
        <v>0</v>
      </c>
      <c r="L124" s="315">
        <v>0</v>
      </c>
      <c r="M124" s="315">
        <v>15</v>
      </c>
      <c r="N124" s="315">
        <v>0</v>
      </c>
      <c r="O124" s="315">
        <f t="shared" si="92"/>
        <v>0</v>
      </c>
      <c r="P124" s="315" t="e">
        <f t="shared" si="93"/>
        <v>#N/A</v>
      </c>
      <c r="Q124" s="315">
        <f t="shared" si="94"/>
        <v>0</v>
      </c>
      <c r="R124" s="315">
        <f t="shared" si="95"/>
        <v>0</v>
      </c>
      <c r="S124" s="315">
        <f t="shared" si="96"/>
        <v>0</v>
      </c>
      <c r="T124" s="315">
        <f t="shared" si="97"/>
        <v>0</v>
      </c>
      <c r="U124" s="315">
        <f t="shared" si="98"/>
        <v>0</v>
      </c>
      <c r="V124" s="315">
        <f t="shared" si="99"/>
        <v>0</v>
      </c>
      <c r="W124" s="313" t="s">
        <v>2568</v>
      </c>
      <c r="X124" s="313"/>
      <c r="Y124" s="313"/>
      <c r="Z124" s="313"/>
      <c r="AA124" s="313"/>
      <c r="AB124" s="313"/>
      <c r="AC124" s="313"/>
      <c r="AD124" s="315" t="b">
        <f t="shared" si="74"/>
        <v>0</v>
      </c>
      <c r="AE124" s="315" t="b">
        <f t="shared" si="100"/>
        <v>0</v>
      </c>
      <c r="AF124" s="313"/>
      <c r="AG124" s="313"/>
      <c r="AH124" s="313"/>
      <c r="AI124" s="313"/>
      <c r="AJ124" s="313"/>
      <c r="AK124" s="313"/>
      <c r="AL124" s="313"/>
      <c r="AM124" s="313"/>
      <c r="AN124" s="313"/>
      <c r="AO124" s="313"/>
      <c r="AP124" s="313"/>
      <c r="AQ124" s="313"/>
      <c r="AR124" s="313"/>
      <c r="AS124" s="313"/>
      <c r="AT124" s="313"/>
      <c r="AU124" s="313"/>
      <c r="AV124" s="313"/>
      <c r="AX124" s="315">
        <f t="shared" si="101"/>
        <v>0</v>
      </c>
      <c r="AY124" s="315">
        <f t="shared" si="102"/>
        <v>0</v>
      </c>
      <c r="AZ124" s="313" t="s">
        <v>2117</v>
      </c>
      <c r="BA124" s="313" t="s">
        <v>721</v>
      </c>
      <c r="BB124" s="313" t="s">
        <v>611</v>
      </c>
      <c r="BC124" s="313" t="s">
        <v>2555</v>
      </c>
      <c r="BD124" s="315" t="s">
        <v>2554</v>
      </c>
      <c r="BE124" s="313"/>
      <c r="BG124" s="313"/>
      <c r="BH124" s="313"/>
      <c r="BI124" s="313"/>
      <c r="BJ124" s="313"/>
      <c r="BK124" s="313"/>
      <c r="BL124" s="313"/>
      <c r="BM124" s="313"/>
      <c r="BN124" s="313"/>
      <c r="BO124" s="313"/>
      <c r="BP124" s="313"/>
    </row>
    <row r="125" spans="1:68">
      <c r="A125" s="313" t="s">
        <v>612</v>
      </c>
      <c r="B125" s="315" t="str">
        <f t="shared" si="89"/>
        <v>No Stats</v>
      </c>
      <c r="C125" s="313" t="str">
        <f t="shared" si="90"/>
        <v>Herbivore</v>
      </c>
      <c r="D125" s="313">
        <f t="shared" si="91"/>
        <v>0</v>
      </c>
      <c r="E125" s="315">
        <v>0</v>
      </c>
      <c r="F125" s="315">
        <v>0</v>
      </c>
      <c r="G125" s="315">
        <v>0</v>
      </c>
      <c r="H125" s="315">
        <v>0</v>
      </c>
      <c r="I125" s="315">
        <v>0</v>
      </c>
      <c r="J125" s="315">
        <v>0</v>
      </c>
      <c r="K125" s="315">
        <v>0</v>
      </c>
      <c r="L125" s="315">
        <v>0</v>
      </c>
      <c r="M125" s="315">
        <v>15</v>
      </c>
      <c r="N125" s="315">
        <v>0</v>
      </c>
      <c r="O125" s="315">
        <f t="shared" si="92"/>
        <v>0</v>
      </c>
      <c r="P125" s="315" t="e">
        <f t="shared" si="93"/>
        <v>#N/A</v>
      </c>
      <c r="Q125" s="315">
        <f t="shared" si="94"/>
        <v>0</v>
      </c>
      <c r="R125" s="315">
        <f t="shared" si="95"/>
        <v>0</v>
      </c>
      <c r="S125" s="315">
        <f t="shared" si="96"/>
        <v>0</v>
      </c>
      <c r="T125" s="315">
        <f t="shared" si="97"/>
        <v>0</v>
      </c>
      <c r="U125" s="315">
        <f t="shared" si="98"/>
        <v>0</v>
      </c>
      <c r="V125" s="315">
        <f t="shared" si="99"/>
        <v>0</v>
      </c>
      <c r="W125" s="313" t="s">
        <v>2567</v>
      </c>
      <c r="X125" s="313"/>
      <c r="Y125" s="313"/>
      <c r="Z125" s="313"/>
      <c r="AA125" s="313"/>
      <c r="AB125" s="313"/>
      <c r="AC125" s="313"/>
      <c r="AD125" s="315" t="b">
        <f t="shared" si="74"/>
        <v>0</v>
      </c>
      <c r="AE125" s="315" t="b">
        <f t="shared" si="100"/>
        <v>0</v>
      </c>
      <c r="AF125" s="313"/>
      <c r="AG125" s="313"/>
      <c r="AH125" s="313"/>
      <c r="AI125" s="313"/>
      <c r="AJ125" s="313"/>
      <c r="AK125" s="313"/>
      <c r="AL125" s="313"/>
      <c r="AM125" s="313"/>
      <c r="AN125" s="313"/>
      <c r="AO125" s="313"/>
      <c r="AP125" s="313"/>
      <c r="AQ125" s="313"/>
      <c r="AR125" s="313"/>
      <c r="AS125" s="313"/>
      <c r="AT125" s="313"/>
      <c r="AU125" s="313"/>
      <c r="AV125" s="313"/>
      <c r="AX125" s="315">
        <f t="shared" si="101"/>
        <v>0</v>
      </c>
      <c r="AY125" s="315">
        <f t="shared" si="102"/>
        <v>0</v>
      </c>
      <c r="AZ125" s="313" t="s">
        <v>2117</v>
      </c>
      <c r="BA125" s="313" t="s">
        <v>721</v>
      </c>
      <c r="BB125" s="313" t="s">
        <v>612</v>
      </c>
      <c r="BC125" s="313" t="s">
        <v>2478</v>
      </c>
      <c r="BD125" s="315" t="s">
        <v>2554</v>
      </c>
      <c r="BE125" s="313"/>
      <c r="BG125" s="313"/>
      <c r="BH125" s="313"/>
      <c r="BI125" s="313"/>
      <c r="BJ125" s="313"/>
      <c r="BK125" s="313"/>
      <c r="BL125" s="313"/>
      <c r="BM125" s="313"/>
      <c r="BN125" s="313"/>
      <c r="BO125" s="313"/>
      <c r="BP125" s="313"/>
    </row>
    <row r="126" spans="1:68">
      <c r="A126" s="313" t="s">
        <v>618</v>
      </c>
      <c r="B126" s="315" t="str">
        <f t="shared" si="89"/>
        <v>No Stats</v>
      </c>
      <c r="C126" s="313" t="str">
        <f t="shared" si="90"/>
        <v>Herbivore</v>
      </c>
      <c r="D126" s="313">
        <f t="shared" si="91"/>
        <v>0</v>
      </c>
      <c r="E126" s="315">
        <v>0</v>
      </c>
      <c r="F126" s="315">
        <v>0</v>
      </c>
      <c r="G126" s="315">
        <v>0</v>
      </c>
      <c r="H126" s="315">
        <v>0</v>
      </c>
      <c r="I126" s="315">
        <v>0</v>
      </c>
      <c r="J126" s="315">
        <v>0</v>
      </c>
      <c r="K126" s="315">
        <v>0</v>
      </c>
      <c r="L126" s="315">
        <v>0</v>
      </c>
      <c r="M126" s="315">
        <v>15</v>
      </c>
      <c r="N126" s="315">
        <v>0</v>
      </c>
      <c r="O126" s="315">
        <f t="shared" si="92"/>
        <v>0</v>
      </c>
      <c r="P126" s="315" t="e">
        <f t="shared" si="93"/>
        <v>#N/A</v>
      </c>
      <c r="Q126" s="315">
        <f t="shared" si="94"/>
        <v>0</v>
      </c>
      <c r="R126" s="315">
        <f t="shared" si="95"/>
        <v>0</v>
      </c>
      <c r="S126" s="315">
        <f t="shared" si="96"/>
        <v>0</v>
      </c>
      <c r="T126" s="315">
        <f t="shared" si="97"/>
        <v>0</v>
      </c>
      <c r="U126" s="315">
        <f t="shared" si="98"/>
        <v>0</v>
      </c>
      <c r="V126" s="315">
        <f t="shared" si="99"/>
        <v>0</v>
      </c>
      <c r="W126" s="313" t="s">
        <v>2576</v>
      </c>
      <c r="X126" s="313"/>
      <c r="Y126" s="313"/>
      <c r="Z126" s="313"/>
      <c r="AA126" s="313"/>
      <c r="AB126" s="313"/>
      <c r="AC126" s="313"/>
      <c r="AD126" s="315" t="b">
        <f t="shared" si="74"/>
        <v>0</v>
      </c>
      <c r="AE126" s="315" t="b">
        <f t="shared" si="100"/>
        <v>0</v>
      </c>
      <c r="AF126" s="313"/>
      <c r="AG126" s="313"/>
      <c r="AH126" s="313"/>
      <c r="AI126" s="313"/>
      <c r="AJ126" s="313"/>
      <c r="AK126" s="313"/>
      <c r="AL126" s="313"/>
      <c r="AM126" s="313"/>
      <c r="AN126" s="313"/>
      <c r="AO126" s="313"/>
      <c r="AP126" s="313"/>
      <c r="AQ126" s="313"/>
      <c r="AR126" s="313"/>
      <c r="AS126" s="313"/>
      <c r="AT126" s="313"/>
      <c r="AU126" s="313"/>
      <c r="AV126" s="313"/>
      <c r="AX126" s="315">
        <f t="shared" si="101"/>
        <v>0</v>
      </c>
      <c r="AY126" s="315">
        <f t="shared" si="102"/>
        <v>0</v>
      </c>
      <c r="AZ126" s="313" t="s">
        <v>2117</v>
      </c>
      <c r="BA126" s="313" t="s">
        <v>721</v>
      </c>
      <c r="BB126" s="313" t="s">
        <v>618</v>
      </c>
      <c r="BC126" s="313" t="s">
        <v>2478</v>
      </c>
      <c r="BD126" s="315" t="s">
        <v>2554</v>
      </c>
      <c r="BE126" s="313"/>
      <c r="BG126" s="313"/>
      <c r="BH126" s="313"/>
      <c r="BI126" s="313"/>
      <c r="BJ126" s="313"/>
      <c r="BK126" s="313"/>
      <c r="BL126" s="313"/>
      <c r="BM126" s="313"/>
      <c r="BN126" s="313"/>
      <c r="BO126" s="313"/>
      <c r="BP126" s="313"/>
    </row>
    <row r="127" spans="1:68">
      <c r="A127" s="313" t="s">
        <v>724</v>
      </c>
      <c r="B127" s="315" t="str">
        <f t="shared" si="89"/>
        <v>No Stats</v>
      </c>
      <c r="C127" s="313" t="str">
        <f t="shared" si="90"/>
        <v>Herbivore</v>
      </c>
      <c r="D127" s="313">
        <f t="shared" si="91"/>
        <v>0</v>
      </c>
      <c r="E127" s="315">
        <v>0</v>
      </c>
      <c r="F127" s="315">
        <v>0</v>
      </c>
      <c r="G127" s="315">
        <v>0</v>
      </c>
      <c r="H127" s="315">
        <v>0</v>
      </c>
      <c r="I127" s="315">
        <v>0</v>
      </c>
      <c r="J127" s="315">
        <v>0</v>
      </c>
      <c r="K127" s="315">
        <v>0</v>
      </c>
      <c r="L127" s="315">
        <v>0</v>
      </c>
      <c r="M127" s="315">
        <v>15</v>
      </c>
      <c r="N127" s="315">
        <v>0</v>
      </c>
      <c r="O127" s="315">
        <f t="shared" si="92"/>
        <v>0</v>
      </c>
      <c r="P127" s="315" t="e">
        <f t="shared" si="93"/>
        <v>#N/A</v>
      </c>
      <c r="Q127" s="315">
        <f t="shared" si="94"/>
        <v>0</v>
      </c>
      <c r="R127" s="315">
        <f t="shared" si="95"/>
        <v>0</v>
      </c>
      <c r="S127" s="315">
        <f t="shared" si="96"/>
        <v>0</v>
      </c>
      <c r="T127" s="315">
        <f t="shared" si="97"/>
        <v>0</v>
      </c>
      <c r="U127" s="315">
        <f t="shared" si="98"/>
        <v>0</v>
      </c>
      <c r="V127" s="315">
        <f t="shared" si="99"/>
        <v>0</v>
      </c>
      <c r="W127" s="313" t="s">
        <v>2571</v>
      </c>
      <c r="X127" s="313"/>
      <c r="Y127" s="313"/>
      <c r="Z127" s="313"/>
      <c r="AA127" s="313"/>
      <c r="AB127" s="313"/>
      <c r="AC127" s="313"/>
      <c r="AD127" s="315" t="b">
        <f t="shared" si="74"/>
        <v>0</v>
      </c>
      <c r="AE127" s="315" t="b">
        <f t="shared" si="100"/>
        <v>0</v>
      </c>
      <c r="AF127" s="313"/>
      <c r="AG127" s="313"/>
      <c r="AH127" s="313"/>
      <c r="AI127" s="313"/>
      <c r="AJ127" s="313"/>
      <c r="AK127" s="313"/>
      <c r="AL127" s="313"/>
      <c r="AM127" s="313"/>
      <c r="AN127" s="313"/>
      <c r="AO127" s="313"/>
      <c r="AP127" s="313"/>
      <c r="AQ127" s="313"/>
      <c r="AR127" s="313"/>
      <c r="AS127" s="313"/>
      <c r="AT127" s="313"/>
      <c r="AU127" s="313"/>
      <c r="AV127" s="313"/>
      <c r="AX127" s="315">
        <f t="shared" si="101"/>
        <v>0</v>
      </c>
      <c r="AY127" s="315">
        <f t="shared" si="102"/>
        <v>0</v>
      </c>
      <c r="AZ127" s="313" t="s">
        <v>2117</v>
      </c>
      <c r="BA127" s="313" t="s">
        <v>726</v>
      </c>
      <c r="BB127" s="313" t="s">
        <v>724</v>
      </c>
      <c r="BC127" s="313" t="s">
        <v>2478</v>
      </c>
      <c r="BD127" s="315" t="s">
        <v>2554</v>
      </c>
      <c r="BE127" s="313"/>
      <c r="BG127" s="313"/>
      <c r="BH127" s="313"/>
      <c r="BI127" s="313"/>
      <c r="BJ127" s="313"/>
      <c r="BK127" s="313"/>
      <c r="BL127" s="313"/>
      <c r="BM127" s="313"/>
      <c r="BN127" s="313"/>
      <c r="BO127" s="313"/>
      <c r="BP127" s="313"/>
    </row>
    <row r="128" spans="1:68">
      <c r="A128" s="313" t="s">
        <v>725</v>
      </c>
      <c r="B128" s="315" t="str">
        <f t="shared" si="89"/>
        <v>No Stats</v>
      </c>
      <c r="C128" s="313" t="str">
        <f t="shared" si="90"/>
        <v>Herbivore</v>
      </c>
      <c r="D128" s="313">
        <f t="shared" si="91"/>
        <v>0</v>
      </c>
      <c r="E128" s="315">
        <v>0</v>
      </c>
      <c r="F128" s="315">
        <v>0</v>
      </c>
      <c r="G128" s="315">
        <v>0</v>
      </c>
      <c r="H128" s="315">
        <v>0</v>
      </c>
      <c r="I128" s="315">
        <v>0</v>
      </c>
      <c r="J128" s="315">
        <v>0</v>
      </c>
      <c r="K128" s="315">
        <v>0</v>
      </c>
      <c r="L128" s="315">
        <v>0</v>
      </c>
      <c r="M128" s="315">
        <v>15</v>
      </c>
      <c r="N128" s="315">
        <v>0</v>
      </c>
      <c r="O128" s="315">
        <f t="shared" si="92"/>
        <v>0</v>
      </c>
      <c r="P128" s="315" t="e">
        <f t="shared" si="93"/>
        <v>#N/A</v>
      </c>
      <c r="Q128" s="315">
        <f t="shared" si="94"/>
        <v>0</v>
      </c>
      <c r="R128" s="315">
        <f t="shared" si="95"/>
        <v>0</v>
      </c>
      <c r="S128" s="315">
        <f t="shared" si="96"/>
        <v>0</v>
      </c>
      <c r="T128" s="315">
        <f t="shared" si="97"/>
        <v>0</v>
      </c>
      <c r="U128" s="315">
        <f t="shared" si="98"/>
        <v>0</v>
      </c>
      <c r="V128" s="315">
        <f t="shared" si="99"/>
        <v>0</v>
      </c>
      <c r="W128" s="313" t="s">
        <v>2570</v>
      </c>
      <c r="X128" s="313"/>
      <c r="Y128" s="313"/>
      <c r="Z128" s="313"/>
      <c r="AA128" s="313"/>
      <c r="AB128" s="313"/>
      <c r="AC128" s="313"/>
      <c r="AD128" s="315" t="b">
        <f t="shared" si="74"/>
        <v>0</v>
      </c>
      <c r="AE128" s="315" t="b">
        <f t="shared" si="100"/>
        <v>0</v>
      </c>
      <c r="AF128" s="313"/>
      <c r="AG128" s="313"/>
      <c r="AH128" s="313"/>
      <c r="AI128" s="313"/>
      <c r="AJ128" s="313"/>
      <c r="AK128" s="313"/>
      <c r="AL128" s="313"/>
      <c r="AM128" s="313"/>
      <c r="AN128" s="313"/>
      <c r="AO128" s="313"/>
      <c r="AP128" s="313"/>
      <c r="AQ128" s="313"/>
      <c r="AR128" s="313"/>
      <c r="AS128" s="313"/>
      <c r="AT128" s="313"/>
      <c r="AU128" s="313"/>
      <c r="AV128" s="313"/>
      <c r="AX128" s="315">
        <f t="shared" si="101"/>
        <v>0</v>
      </c>
      <c r="AY128" s="315">
        <f t="shared" si="102"/>
        <v>0</v>
      </c>
      <c r="AZ128" s="313" t="s">
        <v>2117</v>
      </c>
      <c r="BA128" s="313" t="s">
        <v>726</v>
      </c>
      <c r="BB128" s="313" t="s">
        <v>725</v>
      </c>
      <c r="BC128" s="313" t="s">
        <v>2556</v>
      </c>
      <c r="BD128" s="315" t="s">
        <v>2554</v>
      </c>
      <c r="BE128" s="313"/>
      <c r="BG128" s="313"/>
      <c r="BH128" s="313"/>
      <c r="BI128" s="313"/>
      <c r="BJ128" s="313"/>
      <c r="BK128" s="313"/>
      <c r="BL128" s="313"/>
      <c r="BM128" s="313"/>
      <c r="BN128" s="313"/>
      <c r="BO128" s="313"/>
      <c r="BP128" s="313"/>
    </row>
    <row r="129" spans="1:68">
      <c r="A129" s="313" t="s">
        <v>805</v>
      </c>
      <c r="B129" s="315" t="str">
        <f t="shared" si="89"/>
        <v>No Stats</v>
      </c>
      <c r="C129" s="313" t="str">
        <f t="shared" si="90"/>
        <v>Herbivore</v>
      </c>
      <c r="D129" s="313">
        <f t="shared" si="91"/>
        <v>0</v>
      </c>
      <c r="E129" s="315">
        <v>0</v>
      </c>
      <c r="F129" s="315">
        <v>0</v>
      </c>
      <c r="G129" s="315">
        <v>0</v>
      </c>
      <c r="H129" s="315">
        <v>0</v>
      </c>
      <c r="I129" s="315">
        <v>0</v>
      </c>
      <c r="J129" s="315">
        <v>0</v>
      </c>
      <c r="K129" s="315">
        <v>0</v>
      </c>
      <c r="L129" s="315">
        <v>0</v>
      </c>
      <c r="M129" s="315">
        <v>15</v>
      </c>
      <c r="N129" s="315">
        <v>0</v>
      </c>
      <c r="O129" s="315">
        <f t="shared" si="92"/>
        <v>0</v>
      </c>
      <c r="P129" s="315" t="e">
        <f t="shared" si="93"/>
        <v>#N/A</v>
      </c>
      <c r="Q129" s="315">
        <f t="shared" si="94"/>
        <v>0</v>
      </c>
      <c r="R129" s="315">
        <f t="shared" si="95"/>
        <v>0</v>
      </c>
      <c r="S129" s="315">
        <f t="shared" si="96"/>
        <v>0</v>
      </c>
      <c r="T129" s="315">
        <f t="shared" si="97"/>
        <v>0</v>
      </c>
      <c r="U129" s="315">
        <f t="shared" si="98"/>
        <v>0</v>
      </c>
      <c r="V129" s="315">
        <f t="shared" si="99"/>
        <v>0</v>
      </c>
      <c r="W129" s="313" t="s">
        <v>2573</v>
      </c>
      <c r="X129" s="313"/>
      <c r="Y129" s="313"/>
      <c r="Z129" s="313"/>
      <c r="AA129" s="313"/>
      <c r="AB129" s="313"/>
      <c r="AC129" s="313"/>
      <c r="AD129" s="315" t="b">
        <f t="shared" si="74"/>
        <v>0</v>
      </c>
      <c r="AE129" s="315" t="b">
        <f t="shared" si="100"/>
        <v>0</v>
      </c>
      <c r="AF129" s="313"/>
      <c r="AG129" s="313"/>
      <c r="AH129" s="313"/>
      <c r="AI129" s="313"/>
      <c r="AJ129" s="313"/>
      <c r="AK129" s="313"/>
      <c r="AL129" s="313"/>
      <c r="AM129" s="313"/>
      <c r="AN129" s="313"/>
      <c r="AO129" s="313"/>
      <c r="AP129" s="313"/>
      <c r="AQ129" s="313"/>
      <c r="AR129" s="313"/>
      <c r="AS129" s="313"/>
      <c r="AT129" s="313"/>
      <c r="AU129" s="313"/>
      <c r="AV129" s="313"/>
      <c r="AX129" s="315">
        <f t="shared" si="101"/>
        <v>0</v>
      </c>
      <c r="AY129" s="315">
        <f t="shared" si="102"/>
        <v>0</v>
      </c>
      <c r="AZ129" s="313" t="s">
        <v>2117</v>
      </c>
      <c r="BA129" s="313" t="s">
        <v>919</v>
      </c>
      <c r="BB129" s="313" t="s">
        <v>805</v>
      </c>
      <c r="BC129" s="313" t="s">
        <v>2478</v>
      </c>
      <c r="BD129" s="315" t="s">
        <v>2554</v>
      </c>
      <c r="BE129" s="313"/>
      <c r="BG129" s="313"/>
      <c r="BH129" s="313"/>
      <c r="BI129" s="313"/>
      <c r="BJ129" s="313"/>
      <c r="BK129" s="313"/>
      <c r="BL129" s="313"/>
      <c r="BM129" s="313"/>
      <c r="BN129" s="313"/>
      <c r="BO129" s="313"/>
      <c r="BP129" s="313"/>
    </row>
    <row r="130" spans="1:68">
      <c r="A130" s="313" t="s">
        <v>806</v>
      </c>
      <c r="B130" s="315" t="str">
        <f t="shared" si="89"/>
        <v>No Stats</v>
      </c>
      <c r="C130" s="313" t="str">
        <f t="shared" si="90"/>
        <v>Herbivore</v>
      </c>
      <c r="D130" s="313">
        <f t="shared" si="91"/>
        <v>0</v>
      </c>
      <c r="E130" s="315">
        <v>0</v>
      </c>
      <c r="F130" s="315">
        <v>0</v>
      </c>
      <c r="G130" s="315">
        <v>0</v>
      </c>
      <c r="H130" s="315">
        <v>0</v>
      </c>
      <c r="I130" s="315">
        <v>0</v>
      </c>
      <c r="J130" s="315">
        <v>0</v>
      </c>
      <c r="K130" s="315">
        <v>0</v>
      </c>
      <c r="L130" s="315">
        <v>0</v>
      </c>
      <c r="M130" s="315">
        <v>15</v>
      </c>
      <c r="N130" s="315">
        <v>0</v>
      </c>
      <c r="O130" s="315">
        <f t="shared" si="92"/>
        <v>0</v>
      </c>
      <c r="P130" s="315" t="e">
        <f t="shared" si="93"/>
        <v>#N/A</v>
      </c>
      <c r="Q130" s="315">
        <f t="shared" si="94"/>
        <v>0</v>
      </c>
      <c r="R130" s="315">
        <f t="shared" si="95"/>
        <v>0</v>
      </c>
      <c r="S130" s="315">
        <f t="shared" si="96"/>
        <v>0</v>
      </c>
      <c r="T130" s="315">
        <f t="shared" si="97"/>
        <v>0</v>
      </c>
      <c r="U130" s="315">
        <f t="shared" si="98"/>
        <v>0</v>
      </c>
      <c r="V130" s="315">
        <f t="shared" si="99"/>
        <v>0</v>
      </c>
      <c r="W130" s="313" t="s">
        <v>2572</v>
      </c>
      <c r="X130" s="313"/>
      <c r="Y130" s="313"/>
      <c r="Z130" s="313"/>
      <c r="AA130" s="313"/>
      <c r="AB130" s="313"/>
      <c r="AC130" s="313"/>
      <c r="AD130" s="315" t="b">
        <f t="shared" si="74"/>
        <v>0</v>
      </c>
      <c r="AE130" s="315" t="b">
        <f t="shared" si="100"/>
        <v>0</v>
      </c>
      <c r="AF130" s="313"/>
      <c r="AG130" s="313"/>
      <c r="AH130" s="313"/>
      <c r="AI130" s="313"/>
      <c r="AJ130" s="313"/>
      <c r="AK130" s="313"/>
      <c r="AL130" s="313"/>
      <c r="AM130" s="313"/>
      <c r="AN130" s="313"/>
      <c r="AO130" s="313"/>
      <c r="AP130" s="313"/>
      <c r="AQ130" s="313"/>
      <c r="AR130" s="313"/>
      <c r="AS130" s="313"/>
      <c r="AT130" s="313"/>
      <c r="AU130" s="313"/>
      <c r="AV130" s="313"/>
      <c r="AX130" s="315">
        <f t="shared" si="101"/>
        <v>0</v>
      </c>
      <c r="AY130" s="315">
        <f t="shared" si="102"/>
        <v>0</v>
      </c>
      <c r="AZ130" s="313" t="s">
        <v>2117</v>
      </c>
      <c r="BA130" s="313" t="s">
        <v>919</v>
      </c>
      <c r="BB130" s="313" t="s">
        <v>806</v>
      </c>
      <c r="BC130" s="313" t="s">
        <v>2478</v>
      </c>
      <c r="BD130" s="315" t="s">
        <v>2554</v>
      </c>
      <c r="BE130" s="313"/>
      <c r="BG130" s="313"/>
      <c r="BH130" s="313"/>
      <c r="BI130" s="313"/>
      <c r="BJ130" s="313"/>
      <c r="BK130" s="313"/>
      <c r="BL130" s="313"/>
      <c r="BM130" s="313"/>
      <c r="BN130" s="313"/>
      <c r="BO130" s="313"/>
      <c r="BP130" s="313"/>
    </row>
    <row r="131" spans="1:68">
      <c r="A131" s="313" t="s">
        <v>822</v>
      </c>
      <c r="B131" s="315" t="str">
        <f t="shared" si="89"/>
        <v>No Stats</v>
      </c>
      <c r="C131" s="313" t="str">
        <f t="shared" si="90"/>
        <v>Herbivore</v>
      </c>
      <c r="D131" s="313">
        <f t="shared" si="91"/>
        <v>0</v>
      </c>
      <c r="E131" s="315">
        <v>0</v>
      </c>
      <c r="F131" s="315">
        <v>0</v>
      </c>
      <c r="G131" s="315">
        <v>0</v>
      </c>
      <c r="H131" s="315">
        <v>0</v>
      </c>
      <c r="I131" s="315">
        <v>0</v>
      </c>
      <c r="J131" s="315">
        <v>0</v>
      </c>
      <c r="K131" s="315">
        <v>0</v>
      </c>
      <c r="L131" s="315">
        <v>0</v>
      </c>
      <c r="M131" s="315">
        <v>15</v>
      </c>
      <c r="N131" s="315">
        <v>0</v>
      </c>
      <c r="O131" s="315">
        <f t="shared" si="92"/>
        <v>0</v>
      </c>
      <c r="P131" s="315" t="e">
        <f t="shared" si="93"/>
        <v>#N/A</v>
      </c>
      <c r="Q131" s="315">
        <f t="shared" si="94"/>
        <v>0</v>
      </c>
      <c r="R131" s="315">
        <f t="shared" si="95"/>
        <v>0</v>
      </c>
      <c r="S131" s="315">
        <f t="shared" si="96"/>
        <v>0</v>
      </c>
      <c r="T131" s="315">
        <f t="shared" si="97"/>
        <v>0</v>
      </c>
      <c r="U131" s="315">
        <f t="shared" si="98"/>
        <v>0</v>
      </c>
      <c r="V131" s="315">
        <f t="shared" si="99"/>
        <v>0</v>
      </c>
      <c r="W131" s="313" t="s">
        <v>2575</v>
      </c>
      <c r="X131" s="313"/>
      <c r="Y131" s="313"/>
      <c r="Z131" s="313"/>
      <c r="AA131" s="313"/>
      <c r="AB131" s="313"/>
      <c r="AC131" s="313"/>
      <c r="AD131" s="315" t="b">
        <f t="shared" ref="AD131:AD193" si="103">IF(BG131="Formidable",20,IF(BG131="Easy",15,IF(BG131="Routine",10,IF(BG131="Difficult",5))))</f>
        <v>0</v>
      </c>
      <c r="AE131" s="315" t="b">
        <f t="shared" si="100"/>
        <v>0</v>
      </c>
      <c r="AF131" s="313"/>
      <c r="AG131" s="313"/>
      <c r="AH131" s="313"/>
      <c r="AI131" s="313"/>
      <c r="AJ131" s="313"/>
      <c r="AK131" s="313"/>
      <c r="AL131" s="313"/>
      <c r="AM131" s="313"/>
      <c r="AN131" s="313"/>
      <c r="AO131" s="313"/>
      <c r="AP131" s="313"/>
      <c r="AQ131" s="313"/>
      <c r="AR131" s="313"/>
      <c r="AS131" s="313"/>
      <c r="AT131" s="313"/>
      <c r="AU131" s="313"/>
      <c r="AV131" s="313"/>
      <c r="AX131" s="315">
        <f t="shared" si="101"/>
        <v>0</v>
      </c>
      <c r="AY131" s="315">
        <f t="shared" si="102"/>
        <v>0</v>
      </c>
      <c r="AZ131" s="313" t="s">
        <v>2117</v>
      </c>
      <c r="BA131" s="313" t="s">
        <v>919</v>
      </c>
      <c r="BB131" s="313" t="s">
        <v>822</v>
      </c>
      <c r="BC131" s="313" t="s">
        <v>2478</v>
      </c>
      <c r="BD131" s="315" t="s">
        <v>2554</v>
      </c>
      <c r="BE131" s="313"/>
      <c r="BG131" s="313"/>
      <c r="BH131" s="313"/>
      <c r="BI131" s="313"/>
      <c r="BJ131" s="313"/>
      <c r="BK131" s="313"/>
      <c r="BL131" s="313"/>
      <c r="BM131" s="313"/>
      <c r="BN131" s="313"/>
      <c r="BO131" s="313"/>
      <c r="BP131" s="313"/>
    </row>
    <row r="132" spans="1:68">
      <c r="A132" s="313" t="s">
        <v>823</v>
      </c>
      <c r="B132" s="315" t="str">
        <f t="shared" si="89"/>
        <v>No Stats</v>
      </c>
      <c r="C132" s="313" t="str">
        <f t="shared" si="90"/>
        <v>Herbivore</v>
      </c>
      <c r="D132" s="313">
        <f t="shared" si="91"/>
        <v>0</v>
      </c>
      <c r="E132" s="315">
        <v>0</v>
      </c>
      <c r="F132" s="315">
        <v>0</v>
      </c>
      <c r="G132" s="315">
        <v>0</v>
      </c>
      <c r="H132" s="315">
        <v>0</v>
      </c>
      <c r="I132" s="315">
        <v>0</v>
      </c>
      <c r="J132" s="315">
        <v>0</v>
      </c>
      <c r="K132" s="315">
        <v>0</v>
      </c>
      <c r="L132" s="315">
        <v>0</v>
      </c>
      <c r="M132" s="315">
        <v>15</v>
      </c>
      <c r="N132" s="315">
        <v>0</v>
      </c>
      <c r="O132" s="315">
        <f t="shared" si="92"/>
        <v>0</v>
      </c>
      <c r="P132" s="315" t="e">
        <f t="shared" si="93"/>
        <v>#N/A</v>
      </c>
      <c r="Q132" s="315">
        <f t="shared" si="94"/>
        <v>0</v>
      </c>
      <c r="R132" s="315">
        <f t="shared" si="95"/>
        <v>0</v>
      </c>
      <c r="S132" s="315">
        <f t="shared" si="96"/>
        <v>0</v>
      </c>
      <c r="T132" s="315">
        <f t="shared" si="97"/>
        <v>0</v>
      </c>
      <c r="U132" s="315">
        <f t="shared" si="98"/>
        <v>0</v>
      </c>
      <c r="V132" s="315">
        <f t="shared" si="99"/>
        <v>0</v>
      </c>
      <c r="W132" s="313" t="s">
        <v>2577</v>
      </c>
      <c r="X132" s="313"/>
      <c r="Y132" s="313"/>
      <c r="Z132" s="313"/>
      <c r="AA132" s="313"/>
      <c r="AB132" s="313"/>
      <c r="AC132" s="313"/>
      <c r="AD132" s="315" t="b">
        <f t="shared" si="103"/>
        <v>0</v>
      </c>
      <c r="AE132" s="315" t="b">
        <f t="shared" si="100"/>
        <v>0</v>
      </c>
      <c r="AF132" s="313"/>
      <c r="AG132" s="313"/>
      <c r="AH132" s="313"/>
      <c r="AI132" s="313"/>
      <c r="AJ132" s="313"/>
      <c r="AK132" s="313"/>
      <c r="AL132" s="313"/>
      <c r="AM132" s="313"/>
      <c r="AN132" s="313"/>
      <c r="AO132" s="313"/>
      <c r="AP132" s="313"/>
      <c r="AQ132" s="313"/>
      <c r="AR132" s="313"/>
      <c r="AS132" s="313"/>
      <c r="AT132" s="313"/>
      <c r="AU132" s="313"/>
      <c r="AV132" s="313"/>
      <c r="AX132" s="315">
        <f t="shared" si="101"/>
        <v>0</v>
      </c>
      <c r="AY132" s="315">
        <f t="shared" si="102"/>
        <v>0</v>
      </c>
      <c r="AZ132" s="313" t="s">
        <v>2117</v>
      </c>
      <c r="BA132" s="313" t="s">
        <v>919</v>
      </c>
      <c r="BB132" s="313" t="s">
        <v>823</v>
      </c>
      <c r="BC132" s="313" t="s">
        <v>2478</v>
      </c>
      <c r="BD132" s="315" t="s">
        <v>2554</v>
      </c>
      <c r="BE132" s="313"/>
      <c r="BG132" s="313"/>
      <c r="BH132" s="313"/>
      <c r="BI132" s="313"/>
      <c r="BJ132" s="313"/>
      <c r="BK132" s="313"/>
      <c r="BL132" s="313"/>
      <c r="BM132" s="313"/>
      <c r="BN132" s="313"/>
      <c r="BO132" s="313"/>
      <c r="BP132" s="313"/>
    </row>
    <row r="133" spans="1:68">
      <c r="A133" s="313" t="s">
        <v>613</v>
      </c>
      <c r="B133" s="315" t="str">
        <f t="shared" si="89"/>
        <v>No Stats</v>
      </c>
      <c r="C133" s="313" t="str">
        <f t="shared" si="90"/>
        <v>Herbivore</v>
      </c>
      <c r="D133" s="313">
        <f t="shared" si="91"/>
        <v>0</v>
      </c>
      <c r="E133" s="315">
        <v>0</v>
      </c>
      <c r="F133" s="315">
        <v>0</v>
      </c>
      <c r="G133" s="315">
        <v>0</v>
      </c>
      <c r="H133" s="315">
        <v>0</v>
      </c>
      <c r="I133" s="315">
        <v>0</v>
      </c>
      <c r="J133" s="315">
        <v>0</v>
      </c>
      <c r="K133" s="315">
        <v>0</v>
      </c>
      <c r="L133" s="315">
        <v>0</v>
      </c>
      <c r="M133" s="315">
        <v>15</v>
      </c>
      <c r="N133" s="315">
        <v>0</v>
      </c>
      <c r="O133" s="315">
        <f t="shared" si="92"/>
        <v>0</v>
      </c>
      <c r="P133" s="315" t="e">
        <f t="shared" si="93"/>
        <v>#N/A</v>
      </c>
      <c r="Q133" s="315">
        <f t="shared" si="94"/>
        <v>0</v>
      </c>
      <c r="R133" s="315">
        <f t="shared" si="95"/>
        <v>0</v>
      </c>
      <c r="S133" s="315">
        <f t="shared" si="96"/>
        <v>0</v>
      </c>
      <c r="T133" s="315">
        <f t="shared" si="97"/>
        <v>0</v>
      </c>
      <c r="U133" s="315">
        <f t="shared" si="98"/>
        <v>0</v>
      </c>
      <c r="V133" s="315">
        <f t="shared" si="99"/>
        <v>0</v>
      </c>
      <c r="W133" s="313" t="s">
        <v>2574</v>
      </c>
      <c r="X133" s="313"/>
      <c r="Y133" s="313"/>
      <c r="Z133" s="313"/>
      <c r="AA133" s="313"/>
      <c r="AB133" s="313"/>
      <c r="AC133" s="313"/>
      <c r="AD133" s="315" t="b">
        <f t="shared" si="103"/>
        <v>0</v>
      </c>
      <c r="AE133" s="315" t="b">
        <f t="shared" si="100"/>
        <v>0</v>
      </c>
      <c r="AF133" s="313"/>
      <c r="AG133" s="313"/>
      <c r="AH133" s="313"/>
      <c r="AI133" s="313"/>
      <c r="AJ133" s="313"/>
      <c r="AK133" s="313"/>
      <c r="AL133" s="313"/>
      <c r="AM133" s="313"/>
      <c r="AN133" s="313"/>
      <c r="AO133" s="313"/>
      <c r="AP133" s="313"/>
      <c r="AQ133" s="313"/>
      <c r="AR133" s="313"/>
      <c r="AS133" s="313"/>
      <c r="AT133" s="313"/>
      <c r="AU133" s="313"/>
      <c r="AV133" s="313"/>
      <c r="AX133" s="315">
        <f t="shared" si="101"/>
        <v>0</v>
      </c>
      <c r="AY133" s="315">
        <f t="shared" si="102"/>
        <v>0</v>
      </c>
      <c r="AZ133" s="313" t="s">
        <v>2117</v>
      </c>
      <c r="BA133" s="313" t="s">
        <v>919</v>
      </c>
      <c r="BB133" s="313" t="s">
        <v>613</v>
      </c>
      <c r="BC133" s="313" t="s">
        <v>2478</v>
      </c>
      <c r="BD133" s="315" t="s">
        <v>2554</v>
      </c>
      <c r="BE133" s="313"/>
      <c r="BG133" s="313"/>
      <c r="BH133" s="313"/>
      <c r="BI133" s="313"/>
      <c r="BJ133" s="313"/>
      <c r="BK133" s="313"/>
      <c r="BL133" s="313"/>
      <c r="BM133" s="313"/>
      <c r="BN133" s="313"/>
      <c r="BO133" s="313"/>
      <c r="BP133" s="313"/>
    </row>
    <row r="134" spans="1:68">
      <c r="A134" s="313" t="s">
        <v>824</v>
      </c>
      <c r="B134" s="315" t="str">
        <f t="shared" si="89"/>
        <v>No Stats</v>
      </c>
      <c r="C134" s="313" t="str">
        <f t="shared" si="90"/>
        <v>Herbivore</v>
      </c>
      <c r="D134" s="313">
        <f t="shared" si="91"/>
        <v>0</v>
      </c>
      <c r="E134" s="315">
        <v>0</v>
      </c>
      <c r="F134" s="315">
        <v>0</v>
      </c>
      <c r="G134" s="315">
        <v>0</v>
      </c>
      <c r="H134" s="315">
        <v>0</v>
      </c>
      <c r="I134" s="315">
        <v>0</v>
      </c>
      <c r="J134" s="315">
        <v>0</v>
      </c>
      <c r="K134" s="315">
        <v>0</v>
      </c>
      <c r="L134" s="315">
        <v>0</v>
      </c>
      <c r="M134" s="315">
        <v>15</v>
      </c>
      <c r="N134" s="315">
        <v>0</v>
      </c>
      <c r="O134" s="315">
        <f t="shared" si="92"/>
        <v>0</v>
      </c>
      <c r="P134" s="315" t="e">
        <f t="shared" si="93"/>
        <v>#N/A</v>
      </c>
      <c r="Q134" s="315">
        <f t="shared" si="94"/>
        <v>0</v>
      </c>
      <c r="R134" s="315">
        <f t="shared" si="95"/>
        <v>0</v>
      </c>
      <c r="S134" s="315">
        <f t="shared" si="96"/>
        <v>0</v>
      </c>
      <c r="T134" s="315">
        <f t="shared" si="97"/>
        <v>0</v>
      </c>
      <c r="U134" s="315">
        <f t="shared" si="98"/>
        <v>0</v>
      </c>
      <c r="V134" s="315">
        <f t="shared" si="99"/>
        <v>0</v>
      </c>
      <c r="W134" s="313" t="s">
        <v>2578</v>
      </c>
      <c r="X134" s="313"/>
      <c r="Y134" s="313"/>
      <c r="Z134" s="313"/>
      <c r="AA134" s="313"/>
      <c r="AB134" s="313"/>
      <c r="AC134" s="313"/>
      <c r="AD134" s="315" t="b">
        <f t="shared" si="103"/>
        <v>0</v>
      </c>
      <c r="AE134" s="315" t="b">
        <f t="shared" si="100"/>
        <v>0</v>
      </c>
      <c r="AF134" s="313"/>
      <c r="AG134" s="313"/>
      <c r="AH134" s="313"/>
      <c r="AI134" s="313"/>
      <c r="AJ134" s="313"/>
      <c r="AK134" s="313"/>
      <c r="AL134" s="313"/>
      <c r="AM134" s="313"/>
      <c r="AN134" s="313"/>
      <c r="AO134" s="313"/>
      <c r="AP134" s="313"/>
      <c r="AQ134" s="313"/>
      <c r="AR134" s="313"/>
      <c r="AS134" s="313"/>
      <c r="AT134" s="313"/>
      <c r="AU134" s="313"/>
      <c r="AV134" s="313"/>
      <c r="AX134" s="315">
        <f t="shared" si="101"/>
        <v>0</v>
      </c>
      <c r="AY134" s="315">
        <f t="shared" si="102"/>
        <v>0</v>
      </c>
      <c r="AZ134" s="313" t="s">
        <v>2117</v>
      </c>
      <c r="BA134" s="313" t="s">
        <v>825</v>
      </c>
      <c r="BB134" s="313" t="s">
        <v>824</v>
      </c>
      <c r="BC134" s="313" t="s">
        <v>2478</v>
      </c>
      <c r="BD134" s="315" t="s">
        <v>2554</v>
      </c>
      <c r="BE134" s="313"/>
      <c r="BG134" s="313"/>
      <c r="BH134" s="313"/>
      <c r="BI134" s="313"/>
      <c r="BJ134" s="313"/>
      <c r="BK134" s="313"/>
      <c r="BL134" s="313"/>
      <c r="BM134" s="313"/>
      <c r="BN134" s="313"/>
      <c r="BO134" s="313"/>
      <c r="BP134" s="313"/>
    </row>
    <row r="135" spans="1:68">
      <c r="A135" s="313" t="s">
        <v>791</v>
      </c>
      <c r="B135" s="315" t="str">
        <f t="shared" si="89"/>
        <v>No Stats</v>
      </c>
      <c r="C135" s="313" t="str">
        <f t="shared" si="90"/>
        <v>Carnivore</v>
      </c>
      <c r="D135" s="313">
        <f t="shared" si="91"/>
        <v>0</v>
      </c>
      <c r="E135" s="315">
        <v>0</v>
      </c>
      <c r="F135" s="315">
        <v>0</v>
      </c>
      <c r="G135" s="315">
        <v>0</v>
      </c>
      <c r="H135" s="315">
        <v>0</v>
      </c>
      <c r="I135" s="315">
        <v>0</v>
      </c>
      <c r="J135" s="315">
        <v>0</v>
      </c>
      <c r="K135" s="315">
        <v>0</v>
      </c>
      <c r="L135" s="315">
        <v>0</v>
      </c>
      <c r="M135" s="315">
        <v>15</v>
      </c>
      <c r="N135" s="315">
        <v>0</v>
      </c>
      <c r="O135" s="315">
        <f t="shared" si="92"/>
        <v>0</v>
      </c>
      <c r="P135" s="315" t="e">
        <f t="shared" si="93"/>
        <v>#N/A</v>
      </c>
      <c r="Q135" s="315">
        <f t="shared" si="94"/>
        <v>0</v>
      </c>
      <c r="R135" s="315">
        <f t="shared" si="95"/>
        <v>0</v>
      </c>
      <c r="S135" s="315">
        <f t="shared" si="96"/>
        <v>0</v>
      </c>
      <c r="T135" s="315">
        <f t="shared" si="97"/>
        <v>0</v>
      </c>
      <c r="U135" s="315">
        <f t="shared" si="98"/>
        <v>0</v>
      </c>
      <c r="V135" s="315">
        <f t="shared" si="99"/>
        <v>0</v>
      </c>
      <c r="W135" s="313" t="s">
        <v>2579</v>
      </c>
      <c r="X135" s="313"/>
      <c r="Y135" s="313"/>
      <c r="Z135" s="313"/>
      <c r="AA135" s="313"/>
      <c r="AB135" s="313"/>
      <c r="AC135" s="313"/>
      <c r="AD135" s="315" t="b">
        <f t="shared" si="103"/>
        <v>0</v>
      </c>
      <c r="AE135" s="315" t="b">
        <f t="shared" si="100"/>
        <v>0</v>
      </c>
      <c r="AF135" s="313"/>
      <c r="AG135" s="313"/>
      <c r="AH135" s="313"/>
      <c r="AI135" s="313"/>
      <c r="AJ135" s="313"/>
      <c r="AK135" s="313"/>
      <c r="AL135" s="313"/>
      <c r="AM135" s="313"/>
      <c r="AN135" s="313"/>
      <c r="AO135" s="313"/>
      <c r="AP135" s="313"/>
      <c r="AQ135" s="313"/>
      <c r="AR135" s="313"/>
      <c r="AS135" s="313"/>
      <c r="AT135" s="313"/>
      <c r="AU135" s="313"/>
      <c r="AV135" s="313"/>
      <c r="AX135" s="315">
        <f t="shared" si="101"/>
        <v>0</v>
      </c>
      <c r="AY135" s="315">
        <f t="shared" si="102"/>
        <v>0</v>
      </c>
      <c r="AZ135" s="313" t="s">
        <v>2117</v>
      </c>
      <c r="BA135" s="313" t="s">
        <v>596</v>
      </c>
      <c r="BB135" s="313" t="s">
        <v>791</v>
      </c>
      <c r="BC135" s="313" t="s">
        <v>2486</v>
      </c>
      <c r="BD135" s="315" t="s">
        <v>2554</v>
      </c>
      <c r="BE135" s="313"/>
      <c r="BG135" s="313"/>
      <c r="BH135" s="313"/>
      <c r="BI135" s="313"/>
      <c r="BJ135" s="313"/>
      <c r="BK135" s="313"/>
      <c r="BL135" s="313"/>
      <c r="BM135" s="313"/>
      <c r="BN135" s="313"/>
      <c r="BO135" s="313"/>
      <c r="BP135" s="313"/>
    </row>
    <row r="136" spans="1:68">
      <c r="A136" s="313" t="s">
        <v>826</v>
      </c>
      <c r="B136" s="315" t="str">
        <f t="shared" si="89"/>
        <v>No Stats</v>
      </c>
      <c r="C136" s="313" t="str">
        <f t="shared" si="90"/>
        <v>Carnivore</v>
      </c>
      <c r="D136" s="313">
        <f t="shared" si="91"/>
        <v>0</v>
      </c>
      <c r="E136" s="315">
        <v>0</v>
      </c>
      <c r="F136" s="315">
        <v>0</v>
      </c>
      <c r="G136" s="315">
        <v>0</v>
      </c>
      <c r="H136" s="315">
        <v>0</v>
      </c>
      <c r="I136" s="315">
        <v>0</v>
      </c>
      <c r="J136" s="315">
        <v>0</v>
      </c>
      <c r="K136" s="315">
        <v>0</v>
      </c>
      <c r="L136" s="315">
        <v>0</v>
      </c>
      <c r="M136" s="315">
        <v>15</v>
      </c>
      <c r="N136" s="315">
        <v>0</v>
      </c>
      <c r="O136" s="315">
        <f t="shared" si="92"/>
        <v>0</v>
      </c>
      <c r="P136" s="315" t="e">
        <f t="shared" si="93"/>
        <v>#N/A</v>
      </c>
      <c r="Q136" s="315">
        <f t="shared" si="94"/>
        <v>0</v>
      </c>
      <c r="R136" s="315">
        <f t="shared" si="95"/>
        <v>0</v>
      </c>
      <c r="S136" s="315">
        <f t="shared" si="96"/>
        <v>0</v>
      </c>
      <c r="T136" s="315">
        <f t="shared" si="97"/>
        <v>0</v>
      </c>
      <c r="U136" s="315">
        <f t="shared" si="98"/>
        <v>0</v>
      </c>
      <c r="V136" s="315">
        <f t="shared" si="99"/>
        <v>0</v>
      </c>
      <c r="W136" s="313" t="s">
        <v>2580</v>
      </c>
      <c r="X136" s="313"/>
      <c r="Y136" s="313"/>
      <c r="Z136" s="313"/>
      <c r="AA136" s="313"/>
      <c r="AB136" s="313"/>
      <c r="AC136" s="313"/>
      <c r="AD136" s="315" t="b">
        <f t="shared" si="103"/>
        <v>0</v>
      </c>
      <c r="AE136" s="315" t="b">
        <f t="shared" si="100"/>
        <v>0</v>
      </c>
      <c r="AF136" s="313"/>
      <c r="AG136" s="313"/>
      <c r="AH136" s="313"/>
      <c r="AI136" s="313"/>
      <c r="AJ136" s="313"/>
      <c r="AK136" s="313"/>
      <c r="AL136" s="313"/>
      <c r="AM136" s="313"/>
      <c r="AN136" s="313"/>
      <c r="AO136" s="313"/>
      <c r="AP136" s="313"/>
      <c r="AQ136" s="313"/>
      <c r="AR136" s="313"/>
      <c r="AS136" s="313"/>
      <c r="AT136" s="313"/>
      <c r="AU136" s="313"/>
      <c r="AV136" s="313"/>
      <c r="AX136" s="315">
        <f t="shared" si="101"/>
        <v>0</v>
      </c>
      <c r="AY136" s="315">
        <f t="shared" si="102"/>
        <v>0</v>
      </c>
      <c r="AZ136" s="313" t="s">
        <v>2117</v>
      </c>
      <c r="BA136" s="313" t="s">
        <v>596</v>
      </c>
      <c r="BB136" s="313" t="s">
        <v>826</v>
      </c>
      <c r="BC136" s="313" t="s">
        <v>2486</v>
      </c>
      <c r="BD136" s="315" t="s">
        <v>2554</v>
      </c>
      <c r="BE136" s="313"/>
      <c r="BG136" s="313"/>
      <c r="BH136" s="313"/>
      <c r="BI136" s="313"/>
      <c r="BJ136" s="313"/>
      <c r="BK136" s="313"/>
      <c r="BL136" s="313"/>
      <c r="BM136" s="313"/>
      <c r="BN136" s="313"/>
      <c r="BO136" s="313"/>
      <c r="BP136" s="313"/>
    </row>
    <row r="137" spans="1:68">
      <c r="A137" s="313" t="s">
        <v>699</v>
      </c>
      <c r="B137" s="315" t="str">
        <f t="shared" si="89"/>
        <v>No Stats</v>
      </c>
      <c r="C137" s="313" t="str">
        <f t="shared" si="90"/>
        <v>Carnivore</v>
      </c>
      <c r="D137" s="313">
        <f t="shared" si="91"/>
        <v>0</v>
      </c>
      <c r="E137" s="315">
        <v>0</v>
      </c>
      <c r="F137" s="315">
        <v>0</v>
      </c>
      <c r="G137" s="315">
        <v>0</v>
      </c>
      <c r="H137" s="315">
        <v>0</v>
      </c>
      <c r="I137" s="315">
        <v>0</v>
      </c>
      <c r="J137" s="315">
        <v>0</v>
      </c>
      <c r="K137" s="315">
        <v>0</v>
      </c>
      <c r="L137" s="315">
        <v>0</v>
      </c>
      <c r="M137" s="315">
        <v>15</v>
      </c>
      <c r="N137" s="315">
        <v>0</v>
      </c>
      <c r="O137" s="315">
        <f t="shared" si="92"/>
        <v>0</v>
      </c>
      <c r="P137" s="315" t="e">
        <f t="shared" si="93"/>
        <v>#N/A</v>
      </c>
      <c r="Q137" s="315">
        <f t="shared" si="94"/>
        <v>0</v>
      </c>
      <c r="R137" s="315">
        <f t="shared" si="95"/>
        <v>0</v>
      </c>
      <c r="S137" s="315">
        <f t="shared" si="96"/>
        <v>0</v>
      </c>
      <c r="T137" s="315">
        <f t="shared" si="97"/>
        <v>0</v>
      </c>
      <c r="U137" s="315">
        <f t="shared" si="98"/>
        <v>0</v>
      </c>
      <c r="V137" s="315">
        <f t="shared" si="99"/>
        <v>0</v>
      </c>
      <c r="W137" s="313" t="s">
        <v>2581</v>
      </c>
      <c r="X137" s="313"/>
      <c r="Y137" s="313"/>
      <c r="Z137" s="313"/>
      <c r="AA137" s="313"/>
      <c r="AB137" s="313"/>
      <c r="AC137" s="313"/>
      <c r="AD137" s="315" t="b">
        <f t="shared" si="103"/>
        <v>0</v>
      </c>
      <c r="AE137" s="315" t="b">
        <f t="shared" si="100"/>
        <v>0</v>
      </c>
      <c r="AF137" s="313"/>
      <c r="AG137" s="313"/>
      <c r="AH137" s="313"/>
      <c r="AI137" s="313"/>
      <c r="AJ137" s="313"/>
      <c r="AK137" s="313"/>
      <c r="AL137" s="313"/>
      <c r="AM137" s="313"/>
      <c r="AN137" s="313"/>
      <c r="AO137" s="313"/>
      <c r="AP137" s="313"/>
      <c r="AQ137" s="313"/>
      <c r="AR137" s="313"/>
      <c r="AS137" s="313"/>
      <c r="AT137" s="313"/>
      <c r="AU137" s="313"/>
      <c r="AV137" s="313"/>
      <c r="AX137" s="315">
        <f t="shared" si="101"/>
        <v>0</v>
      </c>
      <c r="AY137" s="315">
        <f t="shared" si="102"/>
        <v>0</v>
      </c>
      <c r="AZ137" s="313" t="s">
        <v>2117</v>
      </c>
      <c r="BA137" s="313" t="s">
        <v>596</v>
      </c>
      <c r="BB137" s="313" t="s">
        <v>699</v>
      </c>
      <c r="BC137" s="313" t="s">
        <v>2486</v>
      </c>
      <c r="BD137" s="315" t="s">
        <v>2554</v>
      </c>
      <c r="BE137" s="313"/>
      <c r="BG137" s="313"/>
      <c r="BH137" s="313"/>
      <c r="BI137" s="313"/>
      <c r="BJ137" s="313"/>
      <c r="BK137" s="313"/>
      <c r="BL137" s="313"/>
      <c r="BM137" s="313"/>
      <c r="BN137" s="313"/>
      <c r="BO137" s="313"/>
      <c r="BP137" s="313"/>
    </row>
    <row r="138" spans="1:68">
      <c r="A138" s="313" t="s">
        <v>700</v>
      </c>
      <c r="B138" s="315" t="str">
        <f t="shared" si="89"/>
        <v>No Stats</v>
      </c>
      <c r="C138" s="313" t="str">
        <f t="shared" si="90"/>
        <v>Carnivore</v>
      </c>
      <c r="D138" s="313">
        <f t="shared" si="91"/>
        <v>0</v>
      </c>
      <c r="E138" s="315">
        <v>0</v>
      </c>
      <c r="F138" s="315">
        <v>0</v>
      </c>
      <c r="G138" s="315">
        <v>0</v>
      </c>
      <c r="H138" s="315">
        <v>0</v>
      </c>
      <c r="I138" s="315">
        <v>0</v>
      </c>
      <c r="J138" s="315">
        <v>0</v>
      </c>
      <c r="K138" s="315">
        <v>0</v>
      </c>
      <c r="L138" s="315">
        <v>0</v>
      </c>
      <c r="M138" s="315">
        <v>15</v>
      </c>
      <c r="N138" s="315">
        <v>0</v>
      </c>
      <c r="O138" s="315">
        <f t="shared" si="92"/>
        <v>0</v>
      </c>
      <c r="P138" s="315" t="e">
        <f t="shared" si="93"/>
        <v>#N/A</v>
      </c>
      <c r="Q138" s="315">
        <f t="shared" si="94"/>
        <v>0</v>
      </c>
      <c r="R138" s="315">
        <f t="shared" si="95"/>
        <v>0</v>
      </c>
      <c r="S138" s="315">
        <f t="shared" si="96"/>
        <v>0</v>
      </c>
      <c r="T138" s="315">
        <f t="shared" si="97"/>
        <v>0</v>
      </c>
      <c r="U138" s="315">
        <f t="shared" si="98"/>
        <v>0</v>
      </c>
      <c r="V138" s="315">
        <f t="shared" si="99"/>
        <v>0</v>
      </c>
      <c r="W138" s="313" t="s">
        <v>2582</v>
      </c>
      <c r="X138" s="313"/>
      <c r="Y138" s="313"/>
      <c r="Z138" s="313"/>
      <c r="AA138" s="313"/>
      <c r="AB138" s="313"/>
      <c r="AC138" s="313"/>
      <c r="AD138" s="315" t="b">
        <f t="shared" si="103"/>
        <v>0</v>
      </c>
      <c r="AE138" s="315" t="b">
        <f t="shared" si="100"/>
        <v>0</v>
      </c>
      <c r="AF138" s="313"/>
      <c r="AG138" s="313"/>
      <c r="AH138" s="313"/>
      <c r="AI138" s="313"/>
      <c r="AJ138" s="313"/>
      <c r="AK138" s="313"/>
      <c r="AL138" s="313"/>
      <c r="AM138" s="313"/>
      <c r="AN138" s="313"/>
      <c r="AO138" s="313"/>
      <c r="AP138" s="313"/>
      <c r="AQ138" s="313"/>
      <c r="AR138" s="313"/>
      <c r="AS138" s="313"/>
      <c r="AT138" s="313"/>
      <c r="AU138" s="313"/>
      <c r="AV138" s="313"/>
      <c r="AX138" s="315">
        <f t="shared" si="101"/>
        <v>0</v>
      </c>
      <c r="AY138" s="315">
        <f t="shared" si="102"/>
        <v>0</v>
      </c>
      <c r="AZ138" s="313" t="s">
        <v>2117</v>
      </c>
      <c r="BA138" s="313" t="s">
        <v>596</v>
      </c>
      <c r="BB138" s="313" t="s">
        <v>700</v>
      </c>
      <c r="BC138" s="313" t="s">
        <v>2486</v>
      </c>
      <c r="BD138" s="315" t="s">
        <v>2554</v>
      </c>
      <c r="BE138" s="313"/>
      <c r="BG138" s="313"/>
      <c r="BH138" s="313"/>
      <c r="BI138" s="313"/>
      <c r="BJ138" s="313"/>
      <c r="BK138" s="313"/>
      <c r="BL138" s="313"/>
      <c r="BM138" s="313"/>
      <c r="BN138" s="313"/>
      <c r="BO138" s="313"/>
      <c r="BP138" s="313"/>
    </row>
    <row r="139" spans="1:68">
      <c r="A139" s="313" t="s">
        <v>662</v>
      </c>
      <c r="B139" s="315" t="str">
        <f t="shared" si="89"/>
        <v>4D10</v>
      </c>
      <c r="C139" s="313" t="str">
        <f t="shared" si="90"/>
        <v>Herbivore</v>
      </c>
      <c r="D139" s="313" t="str">
        <f t="shared" si="91"/>
        <v>Non-threatening</v>
      </c>
      <c r="E139" s="315">
        <v>0</v>
      </c>
      <c r="F139" s="315">
        <v>0</v>
      </c>
      <c r="G139" s="315">
        <v>0</v>
      </c>
      <c r="H139" s="315">
        <v>0</v>
      </c>
      <c r="I139" s="315">
        <v>0</v>
      </c>
      <c r="J139" s="315">
        <v>0</v>
      </c>
      <c r="K139" s="315">
        <v>0</v>
      </c>
      <c r="L139" s="315">
        <v>0</v>
      </c>
      <c r="M139" s="315">
        <v>15</v>
      </c>
      <c r="N139" s="315">
        <v>0</v>
      </c>
      <c r="O139" s="315">
        <f t="shared" si="92"/>
        <v>2</v>
      </c>
      <c r="P139" s="315">
        <f t="shared" si="93"/>
        <v>4</v>
      </c>
      <c r="Q139" s="315" t="str">
        <f t="shared" si="94"/>
        <v>Light Hide</v>
      </c>
      <c r="R139" s="315" t="str">
        <f t="shared" si="95"/>
        <v>Light Hide</v>
      </c>
      <c r="S139" s="315" t="str">
        <f t="shared" si="96"/>
        <v>Light Hide</v>
      </c>
      <c r="T139" s="315" t="str">
        <f t="shared" si="97"/>
        <v>Light Hide</v>
      </c>
      <c r="U139" s="315" t="str">
        <f t="shared" si="98"/>
        <v>Light Hide</v>
      </c>
      <c r="V139" s="315" t="str">
        <f t="shared" si="99"/>
        <v>Light Hide</v>
      </c>
      <c r="W139" s="313" t="s">
        <v>2588</v>
      </c>
      <c r="X139" s="313" t="s">
        <v>2585</v>
      </c>
      <c r="Y139" s="313"/>
      <c r="Z139" s="313"/>
      <c r="AA139" s="313"/>
      <c r="AB139" s="313"/>
      <c r="AC139" s="313"/>
      <c r="AD139" s="315">
        <f t="shared" si="103"/>
        <v>15</v>
      </c>
      <c r="AE139" s="315">
        <f t="shared" si="100"/>
        <v>15</v>
      </c>
      <c r="AF139" s="313"/>
      <c r="AG139" s="313"/>
      <c r="AH139" s="313"/>
      <c r="AI139" s="313"/>
      <c r="AJ139" s="313"/>
      <c r="AK139" s="313"/>
      <c r="AL139" s="313"/>
      <c r="AM139" s="313"/>
      <c r="AN139" s="313"/>
      <c r="AO139" s="313"/>
      <c r="AP139" s="313"/>
      <c r="AQ139" s="313"/>
      <c r="AR139" s="313"/>
      <c r="AS139" s="313"/>
      <c r="AT139" s="313"/>
      <c r="AU139" s="313"/>
      <c r="AV139" s="313"/>
      <c r="AX139" s="315">
        <f t="shared" si="101"/>
        <v>80</v>
      </c>
      <c r="AY139" s="315">
        <f t="shared" si="102"/>
        <v>0</v>
      </c>
      <c r="AZ139" s="313" t="s">
        <v>914</v>
      </c>
      <c r="BA139" s="313" t="s">
        <v>573</v>
      </c>
      <c r="BB139" s="313" t="s">
        <v>662</v>
      </c>
      <c r="BC139" s="313" t="s">
        <v>2478</v>
      </c>
      <c r="BD139" s="315" t="s">
        <v>2584</v>
      </c>
      <c r="BE139" s="313" t="s">
        <v>2488</v>
      </c>
      <c r="BF139" s="315">
        <v>2</v>
      </c>
      <c r="BG139" s="313" t="s">
        <v>2481</v>
      </c>
      <c r="BH139" s="313">
        <v>2500</v>
      </c>
      <c r="BI139" s="313">
        <v>80</v>
      </c>
      <c r="BJ139" s="313" t="s">
        <v>2482</v>
      </c>
      <c r="BK139" s="313">
        <v>-4</v>
      </c>
      <c r="BL139" s="313">
        <v>12</v>
      </c>
      <c r="BM139" s="313">
        <v>20</v>
      </c>
      <c r="BN139" s="313">
        <v>20</v>
      </c>
      <c r="BO139" s="313">
        <v>3</v>
      </c>
      <c r="BP139" s="313"/>
    </row>
    <row r="140" spans="1:68">
      <c r="A140" s="313" t="s">
        <v>666</v>
      </c>
      <c r="B140" s="315" t="str">
        <f t="shared" si="89"/>
        <v>2D6</v>
      </c>
      <c r="C140" s="313" t="str">
        <f t="shared" si="90"/>
        <v>Carnivore</v>
      </c>
      <c r="D140" s="313" t="str">
        <f t="shared" si="91"/>
        <v>Aggressive</v>
      </c>
      <c r="E140" s="315">
        <v>0</v>
      </c>
      <c r="F140" s="315">
        <v>0</v>
      </c>
      <c r="G140" s="315">
        <v>0</v>
      </c>
      <c r="H140" s="315">
        <v>0</v>
      </c>
      <c r="I140" s="315">
        <v>0</v>
      </c>
      <c r="J140" s="315">
        <v>0</v>
      </c>
      <c r="K140" s="315">
        <v>0</v>
      </c>
      <c r="L140" s="315">
        <v>0</v>
      </c>
      <c r="M140" s="315">
        <v>15</v>
      </c>
      <c r="N140" s="315">
        <v>0</v>
      </c>
      <c r="O140" s="315">
        <f t="shared" si="92"/>
        <v>9</v>
      </c>
      <c r="P140" s="315">
        <f t="shared" si="93"/>
        <v>0</v>
      </c>
      <c r="Q140" s="315" t="str">
        <f t="shared" si="94"/>
        <v>Fur/Feathers</v>
      </c>
      <c r="R140" s="315" t="str">
        <f t="shared" si="95"/>
        <v>Fur/Feathers</v>
      </c>
      <c r="S140" s="315" t="str">
        <f t="shared" si="96"/>
        <v>Fur/Feathers</v>
      </c>
      <c r="T140" s="315" t="str">
        <f t="shared" si="97"/>
        <v>Fur/Feathers</v>
      </c>
      <c r="U140" s="315" t="str">
        <f t="shared" si="98"/>
        <v>Fur/Feathers</v>
      </c>
      <c r="V140" s="315" t="str">
        <f t="shared" si="99"/>
        <v>Fur/Feathers</v>
      </c>
      <c r="W140" s="313" t="s">
        <v>2589</v>
      </c>
      <c r="X140" s="313" t="s">
        <v>2529</v>
      </c>
      <c r="Y140" s="313"/>
      <c r="Z140" s="313"/>
      <c r="AA140" s="313"/>
      <c r="AB140" s="313"/>
      <c r="AC140" s="313"/>
      <c r="AD140" s="315">
        <f t="shared" si="103"/>
        <v>10</v>
      </c>
      <c r="AE140" s="315">
        <f t="shared" si="100"/>
        <v>10</v>
      </c>
      <c r="AF140" s="313"/>
      <c r="AG140" s="313"/>
      <c r="AH140" s="313"/>
      <c r="AI140" s="313"/>
      <c r="AJ140" s="313"/>
      <c r="AK140" s="313"/>
      <c r="AL140" s="313"/>
      <c r="AM140" s="313"/>
      <c r="AN140" s="313"/>
      <c r="AO140" s="313"/>
      <c r="AP140" s="313"/>
      <c r="AQ140" s="313"/>
      <c r="AR140" s="313"/>
      <c r="AS140" s="313"/>
      <c r="AT140" s="313"/>
      <c r="AU140" s="313"/>
      <c r="AV140" s="313"/>
      <c r="AX140" s="315">
        <f t="shared" si="101"/>
        <v>80</v>
      </c>
      <c r="AY140" s="315">
        <f t="shared" si="102"/>
        <v>0</v>
      </c>
      <c r="AZ140" s="313" t="s">
        <v>914</v>
      </c>
      <c r="BA140" s="313" t="s">
        <v>665</v>
      </c>
      <c r="BB140" s="313" t="s">
        <v>666</v>
      </c>
      <c r="BC140" s="313" t="s">
        <v>2486</v>
      </c>
      <c r="BD140" s="315" t="s">
        <v>2591</v>
      </c>
      <c r="BE140" s="313" t="s">
        <v>2592</v>
      </c>
      <c r="BF140" s="315">
        <v>9</v>
      </c>
      <c r="BG140" s="313" t="s">
        <v>2548</v>
      </c>
      <c r="BH140" s="313">
        <v>80</v>
      </c>
      <c r="BI140" s="313">
        <v>80</v>
      </c>
      <c r="BJ140" s="313" t="s">
        <v>2560</v>
      </c>
      <c r="BK140" s="313">
        <v>0</v>
      </c>
      <c r="BL140" s="313">
        <v>4</v>
      </c>
      <c r="BM140" s="313">
        <v>9</v>
      </c>
      <c r="BN140" s="313">
        <v>4</v>
      </c>
      <c r="BO140" s="313">
        <v>0</v>
      </c>
      <c r="BP140" s="313"/>
    </row>
    <row r="141" spans="1:68">
      <c r="A141" s="313" t="s">
        <v>664</v>
      </c>
      <c r="B141" s="315" t="str">
        <f t="shared" si="89"/>
        <v>2D6</v>
      </c>
      <c r="C141" s="313" t="str">
        <f t="shared" si="90"/>
        <v>Herbivore</v>
      </c>
      <c r="D141" s="313" t="str">
        <f t="shared" si="91"/>
        <v>Non-threatening</v>
      </c>
      <c r="E141" s="315">
        <v>0</v>
      </c>
      <c r="F141" s="315">
        <v>0</v>
      </c>
      <c r="G141" s="315">
        <v>0</v>
      </c>
      <c r="H141" s="315">
        <v>0</v>
      </c>
      <c r="I141" s="315">
        <v>0</v>
      </c>
      <c r="J141" s="315">
        <v>0</v>
      </c>
      <c r="K141" s="315">
        <v>0</v>
      </c>
      <c r="L141" s="315">
        <v>0</v>
      </c>
      <c r="M141" s="315">
        <v>15</v>
      </c>
      <c r="N141" s="315">
        <v>0</v>
      </c>
      <c r="O141" s="315">
        <f t="shared" si="92"/>
        <v>4</v>
      </c>
      <c r="P141" s="315">
        <f t="shared" si="93"/>
        <v>-3</v>
      </c>
      <c r="Q141" s="315" t="str">
        <f t="shared" si="94"/>
        <v>Fur/Feathers</v>
      </c>
      <c r="R141" s="315" t="str">
        <f t="shared" si="95"/>
        <v>Fur/Feathers</v>
      </c>
      <c r="S141" s="315" t="str">
        <f t="shared" si="96"/>
        <v>Fur/Feathers</v>
      </c>
      <c r="T141" s="315" t="str">
        <f t="shared" si="97"/>
        <v>Fur/Feathers</v>
      </c>
      <c r="U141" s="315" t="str">
        <f t="shared" si="98"/>
        <v>Fur/Feathers</v>
      </c>
      <c r="V141" s="315" t="str">
        <f t="shared" si="99"/>
        <v>Fur/Feathers</v>
      </c>
      <c r="W141" s="313" t="s">
        <v>2587</v>
      </c>
      <c r="X141" s="313" t="s">
        <v>2590</v>
      </c>
      <c r="Y141" s="313"/>
      <c r="Z141" s="313"/>
      <c r="AA141" s="313"/>
      <c r="AB141" s="313"/>
      <c r="AC141" s="313"/>
      <c r="AD141" s="315">
        <f t="shared" si="103"/>
        <v>5</v>
      </c>
      <c r="AE141" s="315">
        <f t="shared" si="100"/>
        <v>5</v>
      </c>
      <c r="AF141" s="313"/>
      <c r="AG141" s="313"/>
      <c r="AH141" s="313"/>
      <c r="AI141" s="313"/>
      <c r="AJ141" s="313"/>
      <c r="AK141" s="313"/>
      <c r="AL141" s="313"/>
      <c r="AM141" s="313"/>
      <c r="AN141" s="313"/>
      <c r="AO141" s="313"/>
      <c r="AP141" s="313"/>
      <c r="AQ141" s="313"/>
      <c r="AR141" s="313"/>
      <c r="AS141" s="313"/>
      <c r="AT141" s="313"/>
      <c r="AU141" s="313"/>
      <c r="AV141" s="313"/>
      <c r="AX141" s="315">
        <f t="shared" si="101"/>
        <v>100</v>
      </c>
      <c r="AY141" s="315">
        <f t="shared" si="102"/>
        <v>0</v>
      </c>
      <c r="AZ141" s="313" t="s">
        <v>914</v>
      </c>
      <c r="BA141" s="313" t="s">
        <v>665</v>
      </c>
      <c r="BB141" s="313" t="s">
        <v>664</v>
      </c>
      <c r="BC141" s="313" t="s">
        <v>2478</v>
      </c>
      <c r="BD141" s="315" t="s">
        <v>2591</v>
      </c>
      <c r="BE141" s="313" t="s">
        <v>2488</v>
      </c>
      <c r="BF141" s="315">
        <v>4</v>
      </c>
      <c r="BG141" s="313" t="s">
        <v>2491</v>
      </c>
      <c r="BH141" s="313">
        <v>60</v>
      </c>
      <c r="BI141" s="313">
        <v>100</v>
      </c>
      <c r="BJ141" s="313" t="s">
        <v>2560</v>
      </c>
      <c r="BK141" s="313">
        <v>-2</v>
      </c>
      <c r="BL141" s="313">
        <v>2</v>
      </c>
      <c r="BM141" s="313">
        <v>6</v>
      </c>
      <c r="BN141" s="313">
        <v>2</v>
      </c>
      <c r="BO141" s="313">
        <v>1</v>
      </c>
      <c r="BP141" s="313"/>
    </row>
    <row r="142" spans="1:68">
      <c r="A142" s="313" t="s">
        <v>2333</v>
      </c>
      <c r="B142" s="315">
        <f t="shared" si="89"/>
        <v>1</v>
      </c>
      <c r="C142" s="313" t="str">
        <f t="shared" si="90"/>
        <v>Carnivore</v>
      </c>
      <c r="D142" s="313" t="str">
        <f t="shared" si="91"/>
        <v>Dangerous</v>
      </c>
      <c r="E142" s="315">
        <v>0</v>
      </c>
      <c r="F142" s="315">
        <v>0</v>
      </c>
      <c r="G142" s="315">
        <v>0</v>
      </c>
      <c r="H142" s="315">
        <v>0</v>
      </c>
      <c r="I142" s="315">
        <v>0</v>
      </c>
      <c r="J142" s="315">
        <v>0</v>
      </c>
      <c r="K142" s="315">
        <v>0</v>
      </c>
      <c r="L142" s="315">
        <v>0</v>
      </c>
      <c r="M142" s="315">
        <v>15</v>
      </c>
      <c r="N142" s="315">
        <v>0</v>
      </c>
      <c r="O142" s="315">
        <f t="shared" si="92"/>
        <v>4</v>
      </c>
      <c r="P142" s="315">
        <f t="shared" si="93"/>
        <v>3</v>
      </c>
      <c r="Q142" s="315" t="str">
        <f t="shared" si="94"/>
        <v>Light Hide</v>
      </c>
      <c r="R142" s="315" t="str">
        <f t="shared" si="95"/>
        <v>Light Hide</v>
      </c>
      <c r="S142" s="315" t="str">
        <f t="shared" si="96"/>
        <v>Light Hide</v>
      </c>
      <c r="T142" s="315" t="str">
        <f t="shared" si="97"/>
        <v>Light Hide</v>
      </c>
      <c r="U142" s="315" t="str">
        <f t="shared" si="98"/>
        <v>Light Hide</v>
      </c>
      <c r="V142" s="315" t="str">
        <f t="shared" si="99"/>
        <v>Light Hide</v>
      </c>
      <c r="W142" s="313" t="s">
        <v>2594</v>
      </c>
      <c r="X142" s="313" t="s">
        <v>2595</v>
      </c>
      <c r="Y142" s="313" t="s">
        <v>2595</v>
      </c>
      <c r="Z142" s="313" t="s">
        <v>2529</v>
      </c>
      <c r="AA142" s="313"/>
      <c r="AB142" s="313"/>
      <c r="AC142" s="313"/>
      <c r="AD142" s="315">
        <f t="shared" si="103"/>
        <v>10</v>
      </c>
      <c r="AE142" s="315">
        <f t="shared" si="100"/>
        <v>10</v>
      </c>
      <c r="AF142" s="313"/>
      <c r="AG142" s="313"/>
      <c r="AH142" s="313"/>
      <c r="AI142" s="313"/>
      <c r="AJ142" s="313"/>
      <c r="AK142" s="313"/>
      <c r="AL142" s="313"/>
      <c r="AM142" s="313"/>
      <c r="AN142" s="313"/>
      <c r="AO142" s="313"/>
      <c r="AP142" s="313"/>
      <c r="AQ142" s="313"/>
      <c r="AR142" s="313"/>
      <c r="AS142" s="313"/>
      <c r="AT142" s="313"/>
      <c r="AU142" s="313"/>
      <c r="AV142" s="313"/>
      <c r="AX142" s="315">
        <f t="shared" si="101"/>
        <v>55</v>
      </c>
      <c r="AY142" s="315">
        <f t="shared" si="102"/>
        <v>0</v>
      </c>
      <c r="AZ142" s="313" t="s">
        <v>2332</v>
      </c>
      <c r="BA142" s="313" t="s">
        <v>2334</v>
      </c>
      <c r="BB142" s="313" t="s">
        <v>2333</v>
      </c>
      <c r="BC142" s="313" t="s">
        <v>2486</v>
      </c>
      <c r="BD142" s="315">
        <v>1</v>
      </c>
      <c r="BE142" s="313" t="s">
        <v>2480</v>
      </c>
      <c r="BF142" s="315">
        <v>4</v>
      </c>
      <c r="BG142" s="313" t="s">
        <v>2548</v>
      </c>
      <c r="BH142" s="313">
        <v>500</v>
      </c>
      <c r="BI142" s="313">
        <v>55</v>
      </c>
      <c r="BJ142" s="313" t="s">
        <v>2482</v>
      </c>
      <c r="BK142" s="313">
        <v>0</v>
      </c>
      <c r="BL142" s="313">
        <v>6</v>
      </c>
      <c r="BM142" s="313">
        <v>12</v>
      </c>
      <c r="BN142" s="313">
        <v>10</v>
      </c>
      <c r="BO142" s="313">
        <v>1</v>
      </c>
      <c r="BP142" s="313"/>
    </row>
    <row r="143" spans="1:68">
      <c r="A143" s="313" t="s">
        <v>667</v>
      </c>
      <c r="B143" s="315" t="str">
        <f t="shared" si="89"/>
        <v>1D6</v>
      </c>
      <c r="C143" s="313" t="str">
        <f t="shared" si="90"/>
        <v>Carnivore</v>
      </c>
      <c r="D143" s="313" t="str">
        <f t="shared" si="91"/>
        <v>Dangerous</v>
      </c>
      <c r="E143" s="315">
        <v>0</v>
      </c>
      <c r="F143" s="315">
        <v>0</v>
      </c>
      <c r="G143" s="315">
        <v>0</v>
      </c>
      <c r="H143" s="315">
        <v>0</v>
      </c>
      <c r="I143" s="315">
        <v>0</v>
      </c>
      <c r="J143" s="315">
        <v>0</v>
      </c>
      <c r="K143" s="315">
        <v>0</v>
      </c>
      <c r="L143" s="315">
        <v>0</v>
      </c>
      <c r="M143" s="315">
        <v>15</v>
      </c>
      <c r="N143" s="315">
        <v>0</v>
      </c>
      <c r="O143" s="315">
        <f t="shared" si="92"/>
        <v>7</v>
      </c>
      <c r="P143" s="315">
        <f t="shared" si="93"/>
        <v>-10</v>
      </c>
      <c r="Q143" s="315" t="str">
        <f t="shared" si="94"/>
        <v>Exoskeleton</v>
      </c>
      <c r="R143" s="315" t="str">
        <f t="shared" si="95"/>
        <v>Exoskeleton</v>
      </c>
      <c r="S143" s="315" t="str">
        <f t="shared" si="96"/>
        <v>Exoskeleton</v>
      </c>
      <c r="T143" s="315" t="str">
        <f t="shared" si="97"/>
        <v>Exoskeleton</v>
      </c>
      <c r="U143" s="315" t="str">
        <f t="shared" si="98"/>
        <v>Exoskeleton</v>
      </c>
      <c r="V143" s="315" t="str">
        <f t="shared" si="99"/>
        <v>Exoskeleton</v>
      </c>
      <c r="W143" s="313" t="s">
        <v>2599</v>
      </c>
      <c r="X143" s="313" t="s">
        <v>2529</v>
      </c>
      <c r="Y143" s="313"/>
      <c r="Z143" s="313"/>
      <c r="AA143" s="313"/>
      <c r="AB143" s="313"/>
      <c r="AC143" s="313"/>
      <c r="AD143" s="315">
        <f t="shared" si="103"/>
        <v>10</v>
      </c>
      <c r="AE143" s="315">
        <f t="shared" si="100"/>
        <v>10</v>
      </c>
      <c r="AF143" s="313"/>
      <c r="AG143" s="313"/>
      <c r="AH143" s="313" t="s">
        <v>2544</v>
      </c>
      <c r="AI143" s="313"/>
      <c r="AJ143" s="313"/>
      <c r="AK143" s="313"/>
      <c r="AL143" s="313"/>
      <c r="AM143" s="313"/>
      <c r="AN143" s="313"/>
      <c r="AO143" s="313"/>
      <c r="AP143" s="313"/>
      <c r="AQ143" s="313"/>
      <c r="AR143" s="313"/>
      <c r="AS143" s="313"/>
      <c r="AT143" s="313"/>
      <c r="AU143" s="313"/>
      <c r="AV143" s="313"/>
      <c r="AX143" s="315">
        <f t="shared" si="101"/>
        <v>60</v>
      </c>
      <c r="AY143" s="315">
        <f t="shared" si="102"/>
        <v>0</v>
      </c>
      <c r="AZ143" s="313" t="s">
        <v>914</v>
      </c>
      <c r="BA143" s="313" t="s">
        <v>2597</v>
      </c>
      <c r="BB143" s="313" t="s">
        <v>667</v>
      </c>
      <c r="BC143" s="313" t="s">
        <v>2486</v>
      </c>
      <c r="BD143" s="315" t="s">
        <v>2479</v>
      </c>
      <c r="BE143" s="313" t="s">
        <v>2480</v>
      </c>
      <c r="BF143" s="315">
        <v>7</v>
      </c>
      <c r="BG143" s="313" t="s">
        <v>2548</v>
      </c>
      <c r="BH143" s="313">
        <v>0.1</v>
      </c>
      <c r="BI143" s="313">
        <v>60</v>
      </c>
      <c r="BJ143" s="313" t="s">
        <v>2598</v>
      </c>
      <c r="BK143" s="313">
        <v>-5</v>
      </c>
      <c r="BL143" s="313">
        <v>1</v>
      </c>
      <c r="BM143" s="313">
        <v>1</v>
      </c>
      <c r="BN143" s="313">
        <v>2</v>
      </c>
      <c r="BO143" s="313">
        <v>-5</v>
      </c>
      <c r="BP143" s="313"/>
    </row>
    <row r="144" spans="1:68">
      <c r="A144" s="313" t="s">
        <v>669</v>
      </c>
      <c r="B144" s="315" t="str">
        <f t="shared" si="89"/>
        <v>2D6</v>
      </c>
      <c r="C144" s="313" t="str">
        <f t="shared" si="90"/>
        <v>Carnivore</v>
      </c>
      <c r="D144" s="313" t="str">
        <f t="shared" si="91"/>
        <v>Aggressive</v>
      </c>
      <c r="E144" s="315">
        <v>0</v>
      </c>
      <c r="F144" s="315">
        <v>0</v>
      </c>
      <c r="G144" s="315">
        <v>0</v>
      </c>
      <c r="H144" s="315">
        <v>0</v>
      </c>
      <c r="I144" s="315">
        <v>0</v>
      </c>
      <c r="J144" s="315">
        <v>0</v>
      </c>
      <c r="K144" s="315">
        <v>0</v>
      </c>
      <c r="L144" s="315">
        <v>0</v>
      </c>
      <c r="M144" s="315">
        <v>15</v>
      </c>
      <c r="N144" s="315">
        <v>0</v>
      </c>
      <c r="O144" s="315">
        <f t="shared" si="92"/>
        <v>6</v>
      </c>
      <c r="P144" s="315">
        <f t="shared" si="93"/>
        <v>1</v>
      </c>
      <c r="Q144" s="315" t="str">
        <f t="shared" si="94"/>
        <v>Fur/Feathers</v>
      </c>
      <c r="R144" s="315" t="str">
        <f t="shared" si="95"/>
        <v>Fur/Feathers</v>
      </c>
      <c r="S144" s="315" t="str">
        <f t="shared" si="96"/>
        <v>Fur/Feathers</v>
      </c>
      <c r="T144" s="315" t="str">
        <f t="shared" si="97"/>
        <v>Fur/Feathers</v>
      </c>
      <c r="U144" s="315" t="str">
        <f t="shared" si="98"/>
        <v>Fur/Feathers</v>
      </c>
      <c r="V144" s="315" t="str">
        <f t="shared" si="99"/>
        <v>Fur/Feathers</v>
      </c>
      <c r="W144" s="313" t="s">
        <v>2593</v>
      </c>
      <c r="X144" s="313" t="s">
        <v>2485</v>
      </c>
      <c r="Y144" s="313"/>
      <c r="Z144" s="313"/>
      <c r="AA144" s="313"/>
      <c r="AB144" s="313"/>
      <c r="AC144" s="313"/>
      <c r="AD144" s="315">
        <f t="shared" si="103"/>
        <v>15</v>
      </c>
      <c r="AE144" s="315">
        <f t="shared" si="100"/>
        <v>15</v>
      </c>
      <c r="AF144" s="313"/>
      <c r="AG144" s="313"/>
      <c r="AH144" s="313"/>
      <c r="AI144" s="313"/>
      <c r="AJ144" s="313"/>
      <c r="AK144" s="313"/>
      <c r="AL144" s="313"/>
      <c r="AM144" s="313"/>
      <c r="AN144" s="313"/>
      <c r="AO144" s="313"/>
      <c r="AP144" s="313"/>
      <c r="AQ144" s="313"/>
      <c r="AR144" s="313"/>
      <c r="AS144" s="313"/>
      <c r="AT144" s="313"/>
      <c r="AU144" s="313"/>
      <c r="AV144" s="313"/>
      <c r="AX144" s="315">
        <f t="shared" si="101"/>
        <v>100</v>
      </c>
      <c r="AY144" s="315">
        <f t="shared" si="102"/>
        <v>0</v>
      </c>
      <c r="AZ144" s="313" t="s">
        <v>914</v>
      </c>
      <c r="BA144" s="313" t="s">
        <v>2596</v>
      </c>
      <c r="BB144" s="313" t="s">
        <v>669</v>
      </c>
      <c r="BC144" s="313" t="s">
        <v>2486</v>
      </c>
      <c r="BD144" s="315" t="s">
        <v>2591</v>
      </c>
      <c r="BE144" s="313" t="s">
        <v>2592</v>
      </c>
      <c r="BF144" s="315">
        <v>6</v>
      </c>
      <c r="BG144" s="313" t="s">
        <v>2481</v>
      </c>
      <c r="BH144" s="313">
        <v>150</v>
      </c>
      <c r="BI144" s="313">
        <v>100</v>
      </c>
      <c r="BJ144" s="313" t="s">
        <v>2560</v>
      </c>
      <c r="BK144" s="313">
        <v>0</v>
      </c>
      <c r="BL144" s="313">
        <v>6</v>
      </c>
      <c r="BM144" s="313">
        <v>10</v>
      </c>
      <c r="BN144" s="313">
        <v>4</v>
      </c>
      <c r="BO144" s="313">
        <v>-1</v>
      </c>
      <c r="BP144" s="313"/>
    </row>
    <row r="145" spans="1:68">
      <c r="A145" s="313" t="s">
        <v>668</v>
      </c>
      <c r="B145" s="315" t="str">
        <f t="shared" si="89"/>
        <v>10-1000</v>
      </c>
      <c r="C145" s="313" t="str">
        <f t="shared" si="90"/>
        <v>Herbivore</v>
      </c>
      <c r="D145" s="313" t="str">
        <f t="shared" si="91"/>
        <v>Non-threatening</v>
      </c>
      <c r="E145" s="315">
        <v>0</v>
      </c>
      <c r="F145" s="315">
        <v>0</v>
      </c>
      <c r="G145" s="315">
        <v>0</v>
      </c>
      <c r="H145" s="315">
        <v>0</v>
      </c>
      <c r="I145" s="315">
        <v>0</v>
      </c>
      <c r="J145" s="315">
        <v>0</v>
      </c>
      <c r="K145" s="315">
        <v>0</v>
      </c>
      <c r="L145" s="315">
        <v>0</v>
      </c>
      <c r="M145" s="315">
        <v>15</v>
      </c>
      <c r="N145" s="315">
        <v>0</v>
      </c>
      <c r="O145" s="315">
        <f t="shared" si="92"/>
        <v>4</v>
      </c>
      <c r="P145" s="315">
        <f t="shared" si="93"/>
        <v>1</v>
      </c>
      <c r="Q145" s="315" t="str">
        <f t="shared" si="94"/>
        <v>Fur/Feathers</v>
      </c>
      <c r="R145" s="315" t="str">
        <f t="shared" si="95"/>
        <v>Fur/Feathers</v>
      </c>
      <c r="S145" s="315" t="str">
        <f t="shared" si="96"/>
        <v>Fur/Feathers</v>
      </c>
      <c r="T145" s="315" t="str">
        <f t="shared" si="97"/>
        <v>Fur/Feathers</v>
      </c>
      <c r="U145" s="315" t="str">
        <f t="shared" si="98"/>
        <v>Fur/Feathers</v>
      </c>
      <c r="V145" s="315" t="str">
        <f t="shared" si="99"/>
        <v>Fur/Feathers</v>
      </c>
      <c r="W145" s="313" t="s">
        <v>2600</v>
      </c>
      <c r="X145" s="313" t="s">
        <v>2529</v>
      </c>
      <c r="Y145" s="313" t="s">
        <v>2543</v>
      </c>
      <c r="Z145" s="313" t="s">
        <v>2543</v>
      </c>
      <c r="AA145" s="313"/>
      <c r="AB145" s="313"/>
      <c r="AC145" s="313"/>
      <c r="AD145" s="315">
        <f t="shared" si="103"/>
        <v>5</v>
      </c>
      <c r="AE145" s="315">
        <f t="shared" si="100"/>
        <v>5</v>
      </c>
      <c r="AF145" s="313"/>
      <c r="AG145" s="313"/>
      <c r="AH145" s="313"/>
      <c r="AI145" s="313"/>
      <c r="AJ145" s="313"/>
      <c r="AK145" s="313"/>
      <c r="AL145" s="313"/>
      <c r="AM145" s="313"/>
      <c r="AN145" s="313"/>
      <c r="AO145" s="313"/>
      <c r="AP145" s="313"/>
      <c r="AQ145" s="313"/>
      <c r="AR145" s="313"/>
      <c r="AS145" s="313"/>
      <c r="AT145" s="313"/>
      <c r="AU145" s="313"/>
      <c r="AV145" s="313"/>
      <c r="AX145" s="315">
        <f t="shared" si="101"/>
        <v>140</v>
      </c>
      <c r="AY145" s="315">
        <f t="shared" si="102"/>
        <v>0</v>
      </c>
      <c r="AZ145" s="313" t="s">
        <v>914</v>
      </c>
      <c r="BA145" s="313" t="s">
        <v>2596</v>
      </c>
      <c r="BB145" s="313" t="s">
        <v>668</v>
      </c>
      <c r="BC145" s="313" t="s">
        <v>2478</v>
      </c>
      <c r="BD145" s="315" t="s">
        <v>2601</v>
      </c>
      <c r="BE145" s="313" t="s">
        <v>2488</v>
      </c>
      <c r="BF145" s="315">
        <v>4</v>
      </c>
      <c r="BG145" s="313" t="s">
        <v>2491</v>
      </c>
      <c r="BH145" s="313">
        <v>100</v>
      </c>
      <c r="BI145" s="313">
        <v>140</v>
      </c>
      <c r="BJ145" s="313" t="s">
        <v>2560</v>
      </c>
      <c r="BK145" s="313">
        <v>0</v>
      </c>
      <c r="BL145" s="313">
        <v>4</v>
      </c>
      <c r="BM145" s="313">
        <v>9</v>
      </c>
      <c r="BN145" s="313">
        <v>2</v>
      </c>
      <c r="BO145" s="313">
        <v>-1</v>
      </c>
      <c r="BP145" s="313"/>
    </row>
    <row r="146" spans="1:68">
      <c r="A146" s="313" t="s">
        <v>786</v>
      </c>
      <c r="B146" s="315" t="str">
        <f t="shared" ref="B146:B177" si="104">BD146</f>
        <v>1D6 X 1D10</v>
      </c>
      <c r="C146" s="313" t="str">
        <f t="shared" ref="C146:C177" si="105">BC146</f>
        <v>Herbivore</v>
      </c>
      <c r="D146" s="313" t="str">
        <f t="shared" ref="D146:D177" si="106">BE146</f>
        <v>Non-threatening</v>
      </c>
      <c r="E146" s="315">
        <v>0</v>
      </c>
      <c r="F146" s="315">
        <v>0</v>
      </c>
      <c r="G146" s="315">
        <v>0</v>
      </c>
      <c r="H146" s="315">
        <v>0</v>
      </c>
      <c r="I146" s="315">
        <v>0</v>
      </c>
      <c r="J146" s="315">
        <v>0</v>
      </c>
      <c r="K146" s="315">
        <v>0</v>
      </c>
      <c r="L146" s="315">
        <v>0</v>
      </c>
      <c r="M146" s="315">
        <v>15</v>
      </c>
      <c r="N146" s="315">
        <v>0</v>
      </c>
      <c r="O146" s="315">
        <f t="shared" ref="O146:O177" si="107">BF146</f>
        <v>2</v>
      </c>
      <c r="P146" s="315">
        <f t="shared" ref="P146:P177" si="108">LOOKUP(BH146,$BU$54:$BU$71,$BS$54:$BS$71)</f>
        <v>3</v>
      </c>
      <c r="Q146" s="315" t="str">
        <f t="shared" ref="Q146:Q177" si="109">BJ146</f>
        <v>Light Hide</v>
      </c>
      <c r="R146" s="315" t="str">
        <f t="shared" ref="R146:R177" si="110">Q146</f>
        <v>Light Hide</v>
      </c>
      <c r="S146" s="315" t="str">
        <f t="shared" ref="S146:S177" si="111">Q146</f>
        <v>Light Hide</v>
      </c>
      <c r="T146" s="315" t="str">
        <f t="shared" ref="T146:T177" si="112">Q146</f>
        <v>Light Hide</v>
      </c>
      <c r="U146" s="315" t="str">
        <f t="shared" ref="U146:U177" si="113">Q146</f>
        <v>Light Hide</v>
      </c>
      <c r="V146" s="315" t="str">
        <f t="shared" ref="V146:V177" si="114">Q146</f>
        <v>Light Hide</v>
      </c>
      <c r="W146" s="313" t="s">
        <v>2643</v>
      </c>
      <c r="X146" s="313" t="s">
        <v>2645</v>
      </c>
      <c r="Y146" s="313"/>
      <c r="Z146" s="313"/>
      <c r="AA146" s="313"/>
      <c r="AB146" s="313"/>
      <c r="AC146" s="313"/>
      <c r="AD146" s="315">
        <f t="shared" si="103"/>
        <v>5</v>
      </c>
      <c r="AE146" s="315">
        <f t="shared" ref="AE146:AE177" si="115">AD146</f>
        <v>5</v>
      </c>
      <c r="AF146" s="313"/>
      <c r="AG146" s="313"/>
      <c r="AH146" s="313"/>
      <c r="AI146" s="313"/>
      <c r="AJ146" s="313"/>
      <c r="AK146" s="313"/>
      <c r="AL146" s="313"/>
      <c r="AM146" s="313"/>
      <c r="AN146" s="313"/>
      <c r="AO146" s="313"/>
      <c r="AP146" s="313"/>
      <c r="AQ146" s="313"/>
      <c r="AR146" s="313"/>
      <c r="AS146" s="313"/>
      <c r="AT146" s="313"/>
      <c r="AU146" s="313"/>
      <c r="AV146" s="313"/>
      <c r="AX146" s="315">
        <f t="shared" ref="AX146:AX177" si="116">BI146</f>
        <v>55</v>
      </c>
      <c r="AY146" s="315">
        <f t="shared" ref="AY146:AY177" si="117">BP146</f>
        <v>0</v>
      </c>
      <c r="AZ146" s="313" t="s">
        <v>784</v>
      </c>
      <c r="BA146" s="313" t="s">
        <v>783</v>
      </c>
      <c r="BB146" s="313" t="s">
        <v>786</v>
      </c>
      <c r="BC146" s="313" t="s">
        <v>2633</v>
      </c>
      <c r="BD146" s="315" t="s">
        <v>2634</v>
      </c>
      <c r="BE146" s="313" t="s">
        <v>2488</v>
      </c>
      <c r="BF146" s="315">
        <v>2</v>
      </c>
      <c r="BG146" s="313" t="s">
        <v>2491</v>
      </c>
      <c r="BH146" s="313">
        <v>1000</v>
      </c>
      <c r="BI146" s="313">
        <v>55</v>
      </c>
      <c r="BJ146" s="313" t="s">
        <v>2635</v>
      </c>
      <c r="BK146" s="313">
        <v>0</v>
      </c>
      <c r="BL146" s="313">
        <v>8</v>
      </c>
      <c r="BM146" s="313">
        <v>12</v>
      </c>
      <c r="BN146" s="313">
        <v>20</v>
      </c>
      <c r="BO146" s="313">
        <v>0</v>
      </c>
      <c r="BP146" s="313"/>
    </row>
    <row r="147" spans="1:68">
      <c r="A147" s="313" t="s">
        <v>787</v>
      </c>
      <c r="B147" s="315" t="str">
        <f t="shared" si="104"/>
        <v>2D6</v>
      </c>
      <c r="C147" s="313" t="str">
        <f t="shared" si="105"/>
        <v>Carnivore</v>
      </c>
      <c r="D147" s="313" t="str">
        <f t="shared" si="106"/>
        <v>Non-threatening</v>
      </c>
      <c r="E147" s="315">
        <v>0</v>
      </c>
      <c r="F147" s="315">
        <v>0</v>
      </c>
      <c r="G147" s="315">
        <v>0</v>
      </c>
      <c r="H147" s="315">
        <v>0</v>
      </c>
      <c r="I147" s="315">
        <v>0</v>
      </c>
      <c r="J147" s="315">
        <v>0</v>
      </c>
      <c r="K147" s="315">
        <v>0</v>
      </c>
      <c r="L147" s="315">
        <v>0</v>
      </c>
      <c r="M147" s="315">
        <v>15</v>
      </c>
      <c r="N147" s="315">
        <v>0</v>
      </c>
      <c r="O147" s="315">
        <f t="shared" si="107"/>
        <v>4</v>
      </c>
      <c r="P147" s="315">
        <f t="shared" si="108"/>
        <v>-3</v>
      </c>
      <c r="Q147" s="315" t="str">
        <f t="shared" si="109"/>
        <v>Fur/Feathers</v>
      </c>
      <c r="R147" s="315" t="str">
        <f t="shared" si="110"/>
        <v>Fur/Feathers</v>
      </c>
      <c r="S147" s="315" t="str">
        <f t="shared" si="111"/>
        <v>Fur/Feathers</v>
      </c>
      <c r="T147" s="315" t="str">
        <f t="shared" si="112"/>
        <v>Fur/Feathers</v>
      </c>
      <c r="U147" s="315" t="str">
        <f t="shared" si="113"/>
        <v>Fur/Feathers</v>
      </c>
      <c r="V147" s="315" t="str">
        <f t="shared" si="114"/>
        <v>Fur/Feathers</v>
      </c>
      <c r="W147" s="313" t="s">
        <v>2646</v>
      </c>
      <c r="X147" s="313" t="s">
        <v>2590</v>
      </c>
      <c r="Y147" s="313" t="s">
        <v>2543</v>
      </c>
      <c r="Z147" s="313" t="s">
        <v>2543</v>
      </c>
      <c r="AA147" s="313"/>
      <c r="AB147" s="313"/>
      <c r="AC147" s="313"/>
      <c r="AD147" s="315">
        <f t="shared" si="103"/>
        <v>5</v>
      </c>
      <c r="AE147" s="315">
        <f t="shared" si="115"/>
        <v>5</v>
      </c>
      <c r="AF147" s="313"/>
      <c r="AG147" s="313"/>
      <c r="AH147" s="313"/>
      <c r="AI147" s="313"/>
      <c r="AJ147" s="313"/>
      <c r="AK147" s="313"/>
      <c r="AL147" s="313"/>
      <c r="AM147" s="313"/>
      <c r="AN147" s="313"/>
      <c r="AO147" s="313"/>
      <c r="AP147" s="313"/>
      <c r="AQ147" s="313"/>
      <c r="AR147" s="313"/>
      <c r="AS147" s="313"/>
      <c r="AT147" s="313"/>
      <c r="AU147" s="313"/>
      <c r="AV147" s="313"/>
      <c r="AX147" s="315">
        <f t="shared" si="116"/>
        <v>110</v>
      </c>
      <c r="AY147" s="315">
        <f t="shared" si="117"/>
        <v>0</v>
      </c>
      <c r="AZ147" s="313" t="s">
        <v>784</v>
      </c>
      <c r="BA147" s="313" t="s">
        <v>783</v>
      </c>
      <c r="BB147" s="313" t="s">
        <v>787</v>
      </c>
      <c r="BC147" s="313" t="s">
        <v>2486</v>
      </c>
      <c r="BD147" s="315" t="s">
        <v>2591</v>
      </c>
      <c r="BE147" s="313" t="s">
        <v>2488</v>
      </c>
      <c r="BF147" s="315">
        <v>4</v>
      </c>
      <c r="BG147" s="313" t="s">
        <v>2491</v>
      </c>
      <c r="BH147" s="313">
        <v>45</v>
      </c>
      <c r="BI147" s="313">
        <v>110</v>
      </c>
      <c r="BJ147" s="313" t="s">
        <v>2560</v>
      </c>
      <c r="BK147" s="313">
        <v>0</v>
      </c>
      <c r="BL147" s="313">
        <v>2</v>
      </c>
      <c r="BM147" s="313">
        <v>5</v>
      </c>
      <c r="BN147" s="313">
        <v>4</v>
      </c>
      <c r="BO147" s="313">
        <v>0</v>
      </c>
      <c r="BP147" s="313"/>
    </row>
    <row r="148" spans="1:68">
      <c r="A148" s="313" t="s">
        <v>782</v>
      </c>
      <c r="B148" s="315">
        <f t="shared" si="104"/>
        <v>1</v>
      </c>
      <c r="C148" s="313" t="str">
        <f t="shared" si="105"/>
        <v>Carnivore</v>
      </c>
      <c r="D148" s="313" t="str">
        <f t="shared" si="106"/>
        <v>Aggressive</v>
      </c>
      <c r="E148" s="315">
        <v>0</v>
      </c>
      <c r="F148" s="315">
        <v>0</v>
      </c>
      <c r="G148" s="315">
        <v>0</v>
      </c>
      <c r="H148" s="315">
        <v>0</v>
      </c>
      <c r="I148" s="315">
        <v>0</v>
      </c>
      <c r="J148" s="315">
        <v>0</v>
      </c>
      <c r="K148" s="315">
        <v>0</v>
      </c>
      <c r="L148" s="315">
        <v>0</v>
      </c>
      <c r="M148" s="315">
        <v>15</v>
      </c>
      <c r="N148" s="315">
        <v>0</v>
      </c>
      <c r="O148" s="315">
        <f t="shared" si="107"/>
        <v>4</v>
      </c>
      <c r="P148" s="315">
        <f t="shared" si="108"/>
        <v>3</v>
      </c>
      <c r="Q148" s="315" t="str">
        <f t="shared" si="109"/>
        <v>Fur/Feathers</v>
      </c>
      <c r="R148" s="315" t="str">
        <f t="shared" si="110"/>
        <v>Fur/Feathers</v>
      </c>
      <c r="S148" s="315" t="str">
        <f t="shared" si="111"/>
        <v>Fur/Feathers</v>
      </c>
      <c r="T148" s="315" t="str">
        <f t="shared" si="112"/>
        <v>Fur/Feathers</v>
      </c>
      <c r="U148" s="315" t="str">
        <f t="shared" si="113"/>
        <v>Fur/Feathers</v>
      </c>
      <c r="V148" s="315" t="str">
        <f t="shared" si="114"/>
        <v>Fur/Feathers</v>
      </c>
      <c r="W148" s="323" t="s">
        <v>2647</v>
      </c>
      <c r="X148" s="313" t="s">
        <v>2529</v>
      </c>
      <c r="Y148" s="313" t="s">
        <v>2543</v>
      </c>
      <c r="Z148" s="313" t="s">
        <v>2543</v>
      </c>
      <c r="AA148" s="313"/>
      <c r="AB148" s="313"/>
      <c r="AC148" s="313"/>
      <c r="AD148" s="315">
        <f t="shared" si="103"/>
        <v>10</v>
      </c>
      <c r="AE148" s="315">
        <f t="shared" si="115"/>
        <v>10</v>
      </c>
      <c r="AF148" s="313"/>
      <c r="AG148" s="313"/>
      <c r="AH148" s="313"/>
      <c r="AI148" s="313"/>
      <c r="AJ148" s="313"/>
      <c r="AK148" s="313"/>
      <c r="AL148" s="313"/>
      <c r="AM148" s="313"/>
      <c r="AN148" s="313"/>
      <c r="AO148" s="313"/>
      <c r="AP148" s="313"/>
      <c r="AQ148" s="313"/>
      <c r="AR148" s="313"/>
      <c r="AS148" s="313"/>
      <c r="AT148" s="313"/>
      <c r="AU148" s="313"/>
      <c r="AV148" s="313"/>
      <c r="AX148" s="315">
        <f t="shared" si="116"/>
        <v>55</v>
      </c>
      <c r="AY148" s="315">
        <f t="shared" si="117"/>
        <v>0</v>
      </c>
      <c r="AZ148" s="313" t="s">
        <v>784</v>
      </c>
      <c r="BA148" s="313" t="s">
        <v>783</v>
      </c>
      <c r="BB148" s="313" t="s">
        <v>782</v>
      </c>
      <c r="BC148" s="313" t="s">
        <v>2648</v>
      </c>
      <c r="BD148" s="315">
        <v>1</v>
      </c>
      <c r="BE148" s="313" t="s">
        <v>2592</v>
      </c>
      <c r="BF148" s="315">
        <v>4</v>
      </c>
      <c r="BG148" s="313" t="s">
        <v>2548</v>
      </c>
      <c r="BH148" s="313">
        <v>500</v>
      </c>
      <c r="BI148" s="313">
        <v>55</v>
      </c>
      <c r="BJ148" s="313" t="s">
        <v>2560</v>
      </c>
      <c r="BK148" s="313">
        <v>0</v>
      </c>
      <c r="BL148" s="313">
        <v>6</v>
      </c>
      <c r="BM148" s="313">
        <v>12</v>
      </c>
      <c r="BN148" s="313">
        <v>10</v>
      </c>
      <c r="BO148" s="313">
        <v>0</v>
      </c>
      <c r="BP148" s="313"/>
    </row>
    <row r="149" spans="1:68">
      <c r="A149" s="313" t="s">
        <v>785</v>
      </c>
      <c r="B149" s="315" t="str">
        <f t="shared" si="104"/>
        <v>1D6</v>
      </c>
      <c r="C149" s="313" t="str">
        <f t="shared" si="105"/>
        <v>Carnivore</v>
      </c>
      <c r="D149" s="313" t="str">
        <f t="shared" si="106"/>
        <v>Aggressive</v>
      </c>
      <c r="E149" s="315">
        <v>0</v>
      </c>
      <c r="F149" s="315">
        <v>0</v>
      </c>
      <c r="G149" s="315">
        <v>0</v>
      </c>
      <c r="H149" s="315">
        <v>0</v>
      </c>
      <c r="I149" s="315">
        <v>0</v>
      </c>
      <c r="J149" s="315">
        <v>0</v>
      </c>
      <c r="K149" s="315">
        <v>0</v>
      </c>
      <c r="L149" s="315">
        <v>0</v>
      </c>
      <c r="M149" s="315">
        <v>15</v>
      </c>
      <c r="N149" s="315">
        <v>0</v>
      </c>
      <c r="O149" s="315">
        <f t="shared" si="107"/>
        <v>4</v>
      </c>
      <c r="P149" s="315">
        <f t="shared" si="108"/>
        <v>-3</v>
      </c>
      <c r="Q149" s="315" t="str">
        <f t="shared" si="109"/>
        <v>Fur/Feathers</v>
      </c>
      <c r="R149" s="315" t="str">
        <f t="shared" si="110"/>
        <v>Fur/Feathers</v>
      </c>
      <c r="S149" s="315" t="str">
        <f t="shared" si="111"/>
        <v>Fur/Feathers</v>
      </c>
      <c r="T149" s="315" t="str">
        <f t="shared" si="112"/>
        <v>Fur/Feathers</v>
      </c>
      <c r="U149" s="315" t="str">
        <f t="shared" si="113"/>
        <v>Fur/Feathers</v>
      </c>
      <c r="V149" s="315" t="str">
        <f t="shared" si="114"/>
        <v>Fur/Feathers</v>
      </c>
      <c r="W149" s="313" t="s">
        <v>2632</v>
      </c>
      <c r="X149" s="313" t="s">
        <v>2529</v>
      </c>
      <c r="Y149" s="313" t="s">
        <v>2543</v>
      </c>
      <c r="Z149" s="313" t="s">
        <v>2543</v>
      </c>
      <c r="AA149" s="313"/>
      <c r="AB149" s="313"/>
      <c r="AC149" s="313"/>
      <c r="AD149" s="315">
        <f t="shared" si="103"/>
        <v>10</v>
      </c>
      <c r="AE149" s="315">
        <f t="shared" si="115"/>
        <v>10</v>
      </c>
      <c r="AF149" s="313"/>
      <c r="AG149" s="313"/>
      <c r="AH149" s="313"/>
      <c r="AI149" s="313"/>
      <c r="AJ149" s="313"/>
      <c r="AK149" s="313"/>
      <c r="AL149" s="313"/>
      <c r="AM149" s="313"/>
      <c r="AN149" s="313"/>
      <c r="AO149" s="313"/>
      <c r="AP149" s="313"/>
      <c r="AQ149" s="313"/>
      <c r="AR149" s="313"/>
      <c r="AS149" s="313"/>
      <c r="AT149" s="313"/>
      <c r="AU149" s="313"/>
      <c r="AV149" s="313"/>
      <c r="AX149" s="315">
        <f t="shared" si="116"/>
        <v>110</v>
      </c>
      <c r="AY149" s="315">
        <f t="shared" si="117"/>
        <v>0</v>
      </c>
      <c r="AZ149" s="313" t="s">
        <v>784</v>
      </c>
      <c r="BA149" s="313" t="s">
        <v>783</v>
      </c>
      <c r="BB149" s="313" t="s">
        <v>785</v>
      </c>
      <c r="BC149" s="313" t="s">
        <v>2486</v>
      </c>
      <c r="BD149" s="315" t="s">
        <v>2479</v>
      </c>
      <c r="BE149" s="313" t="s">
        <v>2592</v>
      </c>
      <c r="BF149" s="315">
        <v>4</v>
      </c>
      <c r="BG149" s="313" t="s">
        <v>2548</v>
      </c>
      <c r="BH149" s="313">
        <v>50</v>
      </c>
      <c r="BI149" s="313">
        <v>110</v>
      </c>
      <c r="BJ149" s="313" t="s">
        <v>2560</v>
      </c>
      <c r="BK149" s="313">
        <v>0</v>
      </c>
      <c r="BL149" s="313">
        <v>2</v>
      </c>
      <c r="BM149" s="313">
        <v>5</v>
      </c>
      <c r="BN149" s="313">
        <v>2</v>
      </c>
      <c r="BO149" s="313">
        <v>0</v>
      </c>
      <c r="BP149" s="313"/>
    </row>
    <row r="150" spans="1:68">
      <c r="A150" s="313" t="s">
        <v>603</v>
      </c>
      <c r="B150" s="315" t="str">
        <f t="shared" si="104"/>
        <v>1D4</v>
      </c>
      <c r="C150" s="313" t="str">
        <f t="shared" si="105"/>
        <v>Herbivore</v>
      </c>
      <c r="D150" s="313" t="str">
        <f t="shared" si="106"/>
        <v>Non-threatening</v>
      </c>
      <c r="E150" s="315">
        <v>0</v>
      </c>
      <c r="F150" s="315">
        <v>0</v>
      </c>
      <c r="G150" s="315">
        <v>0</v>
      </c>
      <c r="H150" s="315">
        <v>0</v>
      </c>
      <c r="I150" s="315">
        <v>0</v>
      </c>
      <c r="J150" s="315">
        <v>0</v>
      </c>
      <c r="K150" s="315">
        <v>0</v>
      </c>
      <c r="L150" s="315">
        <v>0</v>
      </c>
      <c r="M150" s="315">
        <v>15</v>
      </c>
      <c r="N150" s="315">
        <v>0</v>
      </c>
      <c r="O150" s="315">
        <f t="shared" si="107"/>
        <v>3</v>
      </c>
      <c r="P150" s="315">
        <f t="shared" si="108"/>
        <v>8</v>
      </c>
      <c r="Q150" s="315" t="str">
        <f t="shared" si="109"/>
        <v>Natural Armor Hide</v>
      </c>
      <c r="R150" s="315" t="str">
        <f t="shared" si="110"/>
        <v>Natural Armor Hide</v>
      </c>
      <c r="S150" s="315" t="str">
        <f t="shared" si="111"/>
        <v>Natural Armor Hide</v>
      </c>
      <c r="T150" s="315" t="str">
        <f t="shared" si="112"/>
        <v>Natural Armor Hide</v>
      </c>
      <c r="U150" s="315" t="str">
        <f t="shared" si="113"/>
        <v>Natural Armor Hide</v>
      </c>
      <c r="V150" s="315" t="str">
        <f t="shared" si="114"/>
        <v>Natural Armor Hide</v>
      </c>
      <c r="W150" s="313" t="s">
        <v>2659</v>
      </c>
      <c r="X150" s="313" t="s">
        <v>2652</v>
      </c>
      <c r="Y150" s="313"/>
      <c r="Z150" s="313"/>
      <c r="AA150" s="313"/>
      <c r="AB150" s="313"/>
      <c r="AC150" s="313"/>
      <c r="AD150" s="315">
        <f t="shared" si="103"/>
        <v>5</v>
      </c>
      <c r="AE150" s="315">
        <f t="shared" si="115"/>
        <v>5</v>
      </c>
      <c r="AF150" s="313"/>
      <c r="AG150" s="313"/>
      <c r="AH150" s="313"/>
      <c r="AI150" s="313"/>
      <c r="AJ150" s="313"/>
      <c r="AK150" s="313"/>
      <c r="AL150" s="313"/>
      <c r="AM150" s="313"/>
      <c r="AN150" s="313"/>
      <c r="AO150" s="313"/>
      <c r="AP150" s="313"/>
      <c r="AQ150" s="313"/>
      <c r="AR150" s="313"/>
      <c r="AS150" s="313"/>
      <c r="AT150" s="313"/>
      <c r="AU150" s="313"/>
      <c r="AV150" s="313"/>
      <c r="AX150" s="315">
        <f t="shared" si="116"/>
        <v>35</v>
      </c>
      <c r="AY150" s="315">
        <f t="shared" si="117"/>
        <v>0</v>
      </c>
      <c r="AZ150" s="313" t="s">
        <v>784</v>
      </c>
      <c r="BA150" s="313" t="s">
        <v>815</v>
      </c>
      <c r="BB150" s="313" t="s">
        <v>603</v>
      </c>
      <c r="BC150" s="313" t="s">
        <v>2478</v>
      </c>
      <c r="BD150" s="315" t="s">
        <v>2651</v>
      </c>
      <c r="BE150" s="313" t="s">
        <v>2488</v>
      </c>
      <c r="BF150" s="315">
        <v>3</v>
      </c>
      <c r="BG150" s="313" t="s">
        <v>2491</v>
      </c>
      <c r="BH150" s="313">
        <v>50000</v>
      </c>
      <c r="BI150" s="313">
        <v>35</v>
      </c>
      <c r="BJ150" s="7" t="s">
        <v>1944</v>
      </c>
      <c r="BK150" s="313">
        <v>2</v>
      </c>
      <c r="BL150" s="313">
        <v>23</v>
      </c>
      <c r="BM150" s="313">
        <v>37</v>
      </c>
      <c r="BN150" s="313">
        <v>20</v>
      </c>
      <c r="BO150" s="313">
        <v>14</v>
      </c>
      <c r="BP150" s="313"/>
    </row>
    <row r="151" spans="1:68">
      <c r="A151" s="313" t="s">
        <v>816</v>
      </c>
      <c r="B151" s="315" t="str">
        <f t="shared" si="104"/>
        <v>2D6</v>
      </c>
      <c r="C151" s="313" t="str">
        <f t="shared" si="105"/>
        <v>Carnivore</v>
      </c>
      <c r="D151" s="313" t="str">
        <f t="shared" si="106"/>
        <v>Aggressive</v>
      </c>
      <c r="E151" s="315">
        <v>0</v>
      </c>
      <c r="F151" s="315">
        <v>0</v>
      </c>
      <c r="G151" s="315">
        <v>0</v>
      </c>
      <c r="H151" s="315">
        <v>0</v>
      </c>
      <c r="I151" s="315">
        <v>0</v>
      </c>
      <c r="J151" s="315">
        <v>0</v>
      </c>
      <c r="K151" s="315">
        <v>0</v>
      </c>
      <c r="L151" s="315">
        <v>0</v>
      </c>
      <c r="M151" s="315">
        <v>15</v>
      </c>
      <c r="N151" s="315">
        <v>0</v>
      </c>
      <c r="O151" s="315">
        <f t="shared" si="107"/>
        <v>6</v>
      </c>
      <c r="P151" s="315">
        <f t="shared" si="108"/>
        <v>-3</v>
      </c>
      <c r="Q151" s="315" t="str">
        <f t="shared" si="109"/>
        <v>Fur/Feathers</v>
      </c>
      <c r="R151" s="315" t="str">
        <f t="shared" si="110"/>
        <v>Fur/Feathers</v>
      </c>
      <c r="S151" s="315" t="str">
        <f t="shared" si="111"/>
        <v>Fur/Feathers</v>
      </c>
      <c r="T151" s="315" t="str">
        <f t="shared" si="112"/>
        <v>Fur/Feathers</v>
      </c>
      <c r="U151" s="315" t="str">
        <f t="shared" si="113"/>
        <v>Fur/Feathers</v>
      </c>
      <c r="V151" s="315" t="str">
        <f t="shared" si="114"/>
        <v>Fur/Feathers</v>
      </c>
      <c r="W151" s="313" t="s">
        <v>2642</v>
      </c>
      <c r="X151" s="313" t="s">
        <v>2529</v>
      </c>
      <c r="Y151" s="313"/>
      <c r="Z151" s="313"/>
      <c r="AA151" s="313"/>
      <c r="AB151" s="313"/>
      <c r="AC151" s="313"/>
      <c r="AD151" s="315">
        <f t="shared" si="103"/>
        <v>10</v>
      </c>
      <c r="AE151" s="315">
        <f t="shared" si="115"/>
        <v>10</v>
      </c>
      <c r="AF151" s="313"/>
      <c r="AG151" s="313"/>
      <c r="AH151" s="313"/>
      <c r="AI151" s="313"/>
      <c r="AJ151" s="313"/>
      <c r="AK151" s="313"/>
      <c r="AL151" s="313"/>
      <c r="AM151" s="313"/>
      <c r="AN151" s="313"/>
      <c r="AO151" s="313"/>
      <c r="AP151" s="313"/>
      <c r="AQ151" s="313"/>
      <c r="AR151" s="313"/>
      <c r="AS151" s="313"/>
      <c r="AT151" s="313"/>
      <c r="AU151" s="313"/>
      <c r="AV151" s="313"/>
      <c r="AX151" s="315">
        <f t="shared" si="116"/>
        <v>110</v>
      </c>
      <c r="AY151" s="315">
        <f t="shared" si="117"/>
        <v>0</v>
      </c>
      <c r="AZ151" s="313" t="s">
        <v>784</v>
      </c>
      <c r="BA151" s="313" t="s">
        <v>815</v>
      </c>
      <c r="BB151" s="313" t="s">
        <v>816</v>
      </c>
      <c r="BC151" s="313" t="s">
        <v>2486</v>
      </c>
      <c r="BD151" s="315" t="s">
        <v>2591</v>
      </c>
      <c r="BE151" s="313" t="s">
        <v>2592</v>
      </c>
      <c r="BF151" s="315">
        <v>6</v>
      </c>
      <c r="BG151" s="313" t="s">
        <v>2548</v>
      </c>
      <c r="BH151" s="313">
        <v>40</v>
      </c>
      <c r="BI151" s="313">
        <v>110</v>
      </c>
      <c r="BJ151" s="313" t="s">
        <v>2560</v>
      </c>
      <c r="BK151" s="313">
        <v>0</v>
      </c>
      <c r="BL151" s="313">
        <v>2</v>
      </c>
      <c r="BM151" s="313">
        <v>5</v>
      </c>
      <c r="BN151" s="313">
        <v>1</v>
      </c>
      <c r="BO151" s="313">
        <v>0</v>
      </c>
      <c r="BP151" s="313"/>
    </row>
    <row r="152" spans="1:68">
      <c r="A152" s="313" t="s">
        <v>788</v>
      </c>
      <c r="B152" s="315" t="str">
        <f t="shared" si="104"/>
        <v>1D6 X 1D6</v>
      </c>
      <c r="C152" s="313" t="str">
        <f t="shared" si="105"/>
        <v>Herbivore</v>
      </c>
      <c r="D152" s="313" t="str">
        <f t="shared" si="106"/>
        <v>Non-threatening</v>
      </c>
      <c r="E152" s="315">
        <v>0</v>
      </c>
      <c r="F152" s="315">
        <v>0</v>
      </c>
      <c r="G152" s="315">
        <v>0</v>
      </c>
      <c r="H152" s="315">
        <v>0</v>
      </c>
      <c r="I152" s="315">
        <v>0</v>
      </c>
      <c r="J152" s="315">
        <v>0</v>
      </c>
      <c r="K152" s="315">
        <v>0</v>
      </c>
      <c r="L152" s="315">
        <v>0</v>
      </c>
      <c r="M152" s="315">
        <v>15</v>
      </c>
      <c r="N152" s="315">
        <v>0</v>
      </c>
      <c r="O152" s="315">
        <f t="shared" si="107"/>
        <v>2</v>
      </c>
      <c r="P152" s="315">
        <f t="shared" si="108"/>
        <v>3</v>
      </c>
      <c r="Q152" s="315" t="str">
        <f t="shared" si="109"/>
        <v>Light Hide</v>
      </c>
      <c r="R152" s="315" t="str">
        <f t="shared" si="110"/>
        <v>Light Hide</v>
      </c>
      <c r="S152" s="315" t="str">
        <f t="shared" si="111"/>
        <v>Light Hide</v>
      </c>
      <c r="T152" s="315" t="str">
        <f t="shared" si="112"/>
        <v>Light Hide</v>
      </c>
      <c r="U152" s="315" t="str">
        <f t="shared" si="113"/>
        <v>Light Hide</v>
      </c>
      <c r="V152" s="315" t="str">
        <f t="shared" si="114"/>
        <v>Light Hide</v>
      </c>
      <c r="W152" s="313" t="s">
        <v>2649</v>
      </c>
      <c r="X152" s="313" t="s">
        <v>2645</v>
      </c>
      <c r="Y152" s="313" t="s">
        <v>2529</v>
      </c>
      <c r="Z152" s="313"/>
      <c r="AA152" s="313"/>
      <c r="AB152" s="313"/>
      <c r="AC152" s="313"/>
      <c r="AD152" s="315">
        <f t="shared" si="103"/>
        <v>5</v>
      </c>
      <c r="AE152" s="315">
        <f t="shared" si="115"/>
        <v>5</v>
      </c>
      <c r="AF152" s="313"/>
      <c r="AG152" s="313"/>
      <c r="AH152" s="313"/>
      <c r="AI152" s="313"/>
      <c r="AJ152" s="313"/>
      <c r="AK152" s="313"/>
      <c r="AL152" s="313"/>
      <c r="AM152" s="313"/>
      <c r="AN152" s="313"/>
      <c r="AO152" s="313"/>
      <c r="AP152" s="313"/>
      <c r="AQ152" s="313"/>
      <c r="AR152" s="313"/>
      <c r="AS152" s="313"/>
      <c r="AT152" s="313"/>
      <c r="AU152" s="313"/>
      <c r="AV152" s="313"/>
      <c r="AX152" s="315">
        <f t="shared" si="116"/>
        <v>70</v>
      </c>
      <c r="AY152" s="315">
        <f t="shared" si="117"/>
        <v>0</v>
      </c>
      <c r="AZ152" s="313" t="s">
        <v>784</v>
      </c>
      <c r="BA152" s="313" t="s">
        <v>815</v>
      </c>
      <c r="BB152" s="313" t="s">
        <v>788</v>
      </c>
      <c r="BC152" s="313" t="s">
        <v>2478</v>
      </c>
      <c r="BD152" s="315" t="s">
        <v>2644</v>
      </c>
      <c r="BE152" s="313" t="s">
        <v>2488</v>
      </c>
      <c r="BF152" s="315">
        <v>2</v>
      </c>
      <c r="BG152" s="313" t="s">
        <v>2491</v>
      </c>
      <c r="BH152" s="313">
        <v>1000</v>
      </c>
      <c r="BI152" s="313">
        <v>70</v>
      </c>
      <c r="BJ152" s="313" t="s">
        <v>2482</v>
      </c>
      <c r="BK152" s="313">
        <v>0</v>
      </c>
      <c r="BL152" s="313">
        <v>8</v>
      </c>
      <c r="BM152" s="313">
        <v>12</v>
      </c>
      <c r="BN152" s="313">
        <v>10</v>
      </c>
      <c r="BO152" s="313">
        <v>0</v>
      </c>
      <c r="BP152" s="313"/>
    </row>
    <row r="153" spans="1:68">
      <c r="A153" s="313" t="s">
        <v>602</v>
      </c>
      <c r="B153" s="315" t="str">
        <f t="shared" si="104"/>
        <v>2D6</v>
      </c>
      <c r="C153" s="313" t="str">
        <f t="shared" si="105"/>
        <v>Carnivore</v>
      </c>
      <c r="D153" s="313" t="str">
        <f t="shared" si="106"/>
        <v>Ferocious</v>
      </c>
      <c r="E153" s="315">
        <v>0</v>
      </c>
      <c r="F153" s="315">
        <v>0</v>
      </c>
      <c r="G153" s="315">
        <v>0</v>
      </c>
      <c r="H153" s="315">
        <v>0</v>
      </c>
      <c r="I153" s="315">
        <v>0</v>
      </c>
      <c r="J153" s="315">
        <v>0</v>
      </c>
      <c r="K153" s="315">
        <v>0</v>
      </c>
      <c r="L153" s="315">
        <v>0</v>
      </c>
      <c r="M153" s="315">
        <v>15</v>
      </c>
      <c r="N153" s="315">
        <v>0</v>
      </c>
      <c r="O153" s="315">
        <f t="shared" si="107"/>
        <v>10</v>
      </c>
      <c r="P153" s="315">
        <f t="shared" si="108"/>
        <v>8</v>
      </c>
      <c r="Q153" s="315" t="str">
        <f t="shared" si="109"/>
        <v>Natural Armor Hide</v>
      </c>
      <c r="R153" s="315" t="str">
        <f t="shared" si="110"/>
        <v>Natural Armor Hide</v>
      </c>
      <c r="S153" s="315" t="str">
        <f t="shared" si="111"/>
        <v>Natural Armor Hide</v>
      </c>
      <c r="T153" s="315" t="str">
        <f t="shared" si="112"/>
        <v>Natural Armor Hide</v>
      </c>
      <c r="U153" s="315" t="str">
        <f t="shared" si="113"/>
        <v>Natural Armor Hide</v>
      </c>
      <c r="V153" s="315" t="str">
        <f t="shared" si="114"/>
        <v>Natural Armor Hide</v>
      </c>
      <c r="W153" s="313" t="s">
        <v>2656</v>
      </c>
      <c r="X153" s="313" t="s">
        <v>2529</v>
      </c>
      <c r="Y153" s="313" t="s">
        <v>2595</v>
      </c>
      <c r="Z153" s="313"/>
      <c r="AA153" s="313"/>
      <c r="AB153" s="313"/>
      <c r="AC153" s="313"/>
      <c r="AD153" s="315">
        <f t="shared" si="103"/>
        <v>15</v>
      </c>
      <c r="AE153" s="315">
        <f t="shared" si="115"/>
        <v>15</v>
      </c>
      <c r="AF153" s="313"/>
      <c r="AG153" s="313"/>
      <c r="AH153" s="313"/>
      <c r="AI153" s="313"/>
      <c r="AJ153" s="313"/>
      <c r="AK153" s="313"/>
      <c r="AL153" s="313"/>
      <c r="AM153" s="313"/>
      <c r="AN153" s="313"/>
      <c r="AO153" s="313"/>
      <c r="AP153" s="313"/>
      <c r="AQ153" s="313"/>
      <c r="AR153" s="313"/>
      <c r="AS153" s="313"/>
      <c r="AT153" s="313"/>
      <c r="AU153" s="313"/>
      <c r="AV153" s="313"/>
      <c r="AX153" s="315">
        <f t="shared" si="116"/>
        <v>150</v>
      </c>
      <c r="AY153" s="315">
        <f t="shared" si="117"/>
        <v>0</v>
      </c>
      <c r="AZ153" s="313" t="s">
        <v>784</v>
      </c>
      <c r="BA153" s="313" t="s">
        <v>815</v>
      </c>
      <c r="BB153" s="313" t="s">
        <v>602</v>
      </c>
      <c r="BC153" s="313" t="s">
        <v>2486</v>
      </c>
      <c r="BD153" s="315" t="s">
        <v>2591</v>
      </c>
      <c r="BE153" s="313" t="s">
        <v>2650</v>
      </c>
      <c r="BF153" s="315">
        <v>10</v>
      </c>
      <c r="BG153" s="313" t="s">
        <v>2481</v>
      </c>
      <c r="BH153" s="313">
        <v>50000</v>
      </c>
      <c r="BI153" s="313">
        <v>150</v>
      </c>
      <c r="BJ153" s="7" t="s">
        <v>1944</v>
      </c>
      <c r="BK153" s="313">
        <v>2</v>
      </c>
      <c r="BL153" s="313">
        <v>25</v>
      </c>
      <c r="BM153" s="313">
        <v>37</v>
      </c>
      <c r="BN153" s="313">
        <v>20</v>
      </c>
      <c r="BO153" s="313">
        <v>14</v>
      </c>
      <c r="BP153" s="313"/>
    </row>
    <row r="154" spans="1:68">
      <c r="A154" s="313" t="s">
        <v>605</v>
      </c>
      <c r="B154" s="315" t="str">
        <f t="shared" si="104"/>
        <v>1D10 X 1D6</v>
      </c>
      <c r="C154" s="313" t="str">
        <f t="shared" si="105"/>
        <v>Herbivore</v>
      </c>
      <c r="D154" s="313" t="str">
        <f t="shared" si="106"/>
        <v>Non-threatening</v>
      </c>
      <c r="E154" s="315">
        <v>0</v>
      </c>
      <c r="F154" s="315">
        <v>0</v>
      </c>
      <c r="G154" s="315">
        <v>0</v>
      </c>
      <c r="H154" s="315">
        <v>0</v>
      </c>
      <c r="I154" s="315">
        <v>0</v>
      </c>
      <c r="J154" s="315">
        <v>0</v>
      </c>
      <c r="K154" s="315">
        <v>0</v>
      </c>
      <c r="L154" s="315">
        <v>0</v>
      </c>
      <c r="M154" s="315">
        <v>15</v>
      </c>
      <c r="N154" s="315">
        <v>0</v>
      </c>
      <c r="O154" s="315">
        <f t="shared" si="107"/>
        <v>2</v>
      </c>
      <c r="P154" s="315">
        <f t="shared" si="108"/>
        <v>-8</v>
      </c>
      <c r="Q154" s="315" t="str">
        <f t="shared" si="109"/>
        <v>Fur/Feathers</v>
      </c>
      <c r="R154" s="315" t="str">
        <f t="shared" si="110"/>
        <v>Fur/Feathers</v>
      </c>
      <c r="S154" s="315" t="str">
        <f t="shared" si="111"/>
        <v>Fur/Feathers</v>
      </c>
      <c r="T154" s="315" t="str">
        <f t="shared" si="112"/>
        <v>Fur/Feathers</v>
      </c>
      <c r="U154" s="315" t="str">
        <f t="shared" si="113"/>
        <v>Fur/Feathers</v>
      </c>
      <c r="V154" s="315" t="str">
        <f t="shared" si="114"/>
        <v>Fur/Feathers</v>
      </c>
      <c r="W154" s="313" t="s">
        <v>2657</v>
      </c>
      <c r="X154" s="313" t="s">
        <v>2529</v>
      </c>
      <c r="Y154" s="313"/>
      <c r="Z154" s="313"/>
      <c r="AA154" s="313"/>
      <c r="AB154" s="313"/>
      <c r="AC154" s="313"/>
      <c r="AD154" s="315">
        <f t="shared" si="103"/>
        <v>5</v>
      </c>
      <c r="AE154" s="315">
        <f t="shared" si="115"/>
        <v>5</v>
      </c>
      <c r="AF154" s="313"/>
      <c r="AG154" s="313"/>
      <c r="AH154" s="313"/>
      <c r="AI154" s="313"/>
      <c r="AJ154" s="313"/>
      <c r="AK154" s="313"/>
      <c r="AL154" s="313"/>
      <c r="AM154" s="313"/>
      <c r="AN154" s="313"/>
      <c r="AO154" s="313"/>
      <c r="AP154" s="313"/>
      <c r="AQ154" s="313"/>
      <c r="AR154" s="313"/>
      <c r="AS154" s="313"/>
      <c r="AT154" s="313"/>
      <c r="AU154" s="313"/>
      <c r="AV154" s="313"/>
      <c r="AX154" s="315">
        <f t="shared" si="116"/>
        <v>120</v>
      </c>
      <c r="AY154" s="315">
        <f t="shared" si="117"/>
        <v>0</v>
      </c>
      <c r="AZ154" s="313" t="s">
        <v>784</v>
      </c>
      <c r="BA154" s="313" t="s">
        <v>604</v>
      </c>
      <c r="BB154" s="313" t="s">
        <v>605</v>
      </c>
      <c r="BC154" s="313" t="s">
        <v>2654</v>
      </c>
      <c r="BD154" s="315" t="s">
        <v>2655</v>
      </c>
      <c r="BE154" s="313" t="s">
        <v>2488</v>
      </c>
      <c r="BF154" s="315">
        <v>2</v>
      </c>
      <c r="BG154" s="313" t="s">
        <v>2491</v>
      </c>
      <c r="BH154" s="313">
        <v>5</v>
      </c>
      <c r="BI154" s="313">
        <v>120</v>
      </c>
      <c r="BJ154" s="313" t="s">
        <v>2560</v>
      </c>
      <c r="BK154" s="313">
        <v>-5</v>
      </c>
      <c r="BL154" s="313">
        <v>1</v>
      </c>
      <c r="BM154" s="313">
        <v>2</v>
      </c>
      <c r="BN154" s="313">
        <v>1</v>
      </c>
      <c r="BO154" s="313">
        <v>0</v>
      </c>
      <c r="BP154" s="313"/>
    </row>
    <row r="155" spans="1:68">
      <c r="A155" s="313" t="s">
        <v>609</v>
      </c>
      <c r="B155" s="315">
        <f t="shared" si="104"/>
        <v>1</v>
      </c>
      <c r="C155" s="313" t="str">
        <f t="shared" si="105"/>
        <v>Carnivore</v>
      </c>
      <c r="D155" s="313" t="str">
        <f t="shared" si="106"/>
        <v>Aggressive</v>
      </c>
      <c r="E155" s="315">
        <v>0</v>
      </c>
      <c r="F155" s="315">
        <v>0</v>
      </c>
      <c r="G155" s="315">
        <v>0</v>
      </c>
      <c r="H155" s="315">
        <v>0</v>
      </c>
      <c r="I155" s="315">
        <v>0</v>
      </c>
      <c r="J155" s="315">
        <v>0</v>
      </c>
      <c r="K155" s="315">
        <v>0</v>
      </c>
      <c r="L155" s="315">
        <v>0</v>
      </c>
      <c r="M155" s="315">
        <v>15</v>
      </c>
      <c r="N155" s="315">
        <v>0</v>
      </c>
      <c r="O155" s="315">
        <f t="shared" si="107"/>
        <v>8</v>
      </c>
      <c r="P155" s="315">
        <f t="shared" si="108"/>
        <v>1</v>
      </c>
      <c r="Q155" s="315" t="str">
        <f t="shared" si="109"/>
        <v>Light Hide</v>
      </c>
      <c r="R155" s="315" t="str">
        <f t="shared" si="110"/>
        <v>Light Hide</v>
      </c>
      <c r="S155" s="315" t="str">
        <f t="shared" si="111"/>
        <v>Light Hide</v>
      </c>
      <c r="T155" s="315" t="str">
        <f t="shared" si="112"/>
        <v>Light Hide</v>
      </c>
      <c r="U155" s="315" t="str">
        <f t="shared" si="113"/>
        <v>Light Hide</v>
      </c>
      <c r="V155" s="315" t="str">
        <f t="shared" si="114"/>
        <v>Light Hide</v>
      </c>
      <c r="W155" s="313" t="s">
        <v>2653</v>
      </c>
      <c r="X155" s="313" t="s">
        <v>2529</v>
      </c>
      <c r="Y155" s="313" t="s">
        <v>2543</v>
      </c>
      <c r="Z155" s="313" t="s">
        <v>2543</v>
      </c>
      <c r="AA155" s="313" t="s">
        <v>2585</v>
      </c>
      <c r="AB155" s="313"/>
      <c r="AC155" s="313"/>
      <c r="AD155" s="315">
        <f t="shared" si="103"/>
        <v>10</v>
      </c>
      <c r="AE155" s="315">
        <f t="shared" si="115"/>
        <v>10</v>
      </c>
      <c r="AF155" t="s">
        <v>1855</v>
      </c>
      <c r="AG155" s="313"/>
      <c r="AH155" s="313"/>
      <c r="AI155" s="313"/>
      <c r="AJ155" s="313"/>
      <c r="AK155" s="313"/>
      <c r="AL155" s="313"/>
      <c r="AM155" s="313"/>
      <c r="AN155" s="313"/>
      <c r="AO155" s="313"/>
      <c r="AP155" s="313"/>
      <c r="AQ155" s="313"/>
      <c r="AR155" s="313"/>
      <c r="AS155" s="313"/>
      <c r="AT155" s="313"/>
      <c r="AU155" s="313"/>
      <c r="AV155" s="313"/>
      <c r="AX155" s="315">
        <f t="shared" si="116"/>
        <v>75</v>
      </c>
      <c r="AY155" s="315">
        <f t="shared" si="117"/>
        <v>0</v>
      </c>
      <c r="AZ155" s="313" t="s">
        <v>784</v>
      </c>
      <c r="BA155" s="313" t="s">
        <v>604</v>
      </c>
      <c r="BB155" s="313" t="s">
        <v>609</v>
      </c>
      <c r="BC155" s="313" t="s">
        <v>2486</v>
      </c>
      <c r="BD155" s="315">
        <v>1</v>
      </c>
      <c r="BE155" s="313" t="s">
        <v>2665</v>
      </c>
      <c r="BF155" s="315">
        <v>8</v>
      </c>
      <c r="BG155" s="313" t="s">
        <v>2548</v>
      </c>
      <c r="BH155" s="313">
        <v>150</v>
      </c>
      <c r="BI155" s="313">
        <v>75</v>
      </c>
      <c r="BJ155" s="313" t="s">
        <v>2482</v>
      </c>
      <c r="BK155" s="313">
        <v>0</v>
      </c>
      <c r="BL155" s="313">
        <v>5</v>
      </c>
      <c r="BM155" s="313">
        <v>2</v>
      </c>
      <c r="BN155" s="313">
        <v>4</v>
      </c>
      <c r="BO155" s="313">
        <v>0</v>
      </c>
      <c r="BP155" s="313"/>
    </row>
    <row r="156" spans="1:68">
      <c r="A156" s="313" t="s">
        <v>607</v>
      </c>
      <c r="B156" s="315" t="str">
        <f t="shared" si="104"/>
        <v>1D3</v>
      </c>
      <c r="C156" s="313" t="str">
        <f t="shared" si="105"/>
        <v>Omnivore</v>
      </c>
      <c r="D156" s="313" t="str">
        <f t="shared" si="106"/>
        <v>Aggressive</v>
      </c>
      <c r="E156" s="315">
        <v>0</v>
      </c>
      <c r="F156" s="315">
        <v>0</v>
      </c>
      <c r="G156" s="315">
        <v>0</v>
      </c>
      <c r="H156" s="315">
        <v>0</v>
      </c>
      <c r="I156" s="315">
        <v>0</v>
      </c>
      <c r="J156" s="315">
        <v>0</v>
      </c>
      <c r="K156" s="315">
        <v>0</v>
      </c>
      <c r="L156" s="315">
        <v>0</v>
      </c>
      <c r="M156" s="315">
        <v>15</v>
      </c>
      <c r="N156" s="315">
        <v>0</v>
      </c>
      <c r="O156" s="315">
        <f t="shared" si="107"/>
        <v>4</v>
      </c>
      <c r="P156" s="315">
        <f t="shared" si="108"/>
        <v>-3</v>
      </c>
      <c r="Q156" s="315" t="str">
        <f t="shared" si="109"/>
        <v>Fur/Feathers</v>
      </c>
      <c r="R156" s="315" t="str">
        <f t="shared" si="110"/>
        <v>Fur/Feathers</v>
      </c>
      <c r="S156" s="315" t="str">
        <f t="shared" si="111"/>
        <v>Fur/Feathers</v>
      </c>
      <c r="T156" s="315" t="str">
        <f t="shared" si="112"/>
        <v>Fur/Feathers</v>
      </c>
      <c r="U156" s="315" t="str">
        <f t="shared" si="113"/>
        <v>Fur/Feathers</v>
      </c>
      <c r="V156" s="315" t="str">
        <f t="shared" si="114"/>
        <v>Fur/Feathers</v>
      </c>
      <c r="W156" s="313" t="s">
        <v>2672</v>
      </c>
      <c r="X156" s="313" t="s">
        <v>2529</v>
      </c>
      <c r="Y156" s="313"/>
      <c r="Z156" s="313"/>
      <c r="AA156" s="313"/>
      <c r="AB156" s="313"/>
      <c r="AC156" s="313"/>
      <c r="AD156" s="315">
        <f t="shared" si="103"/>
        <v>10</v>
      </c>
      <c r="AE156" s="315">
        <f t="shared" si="115"/>
        <v>10</v>
      </c>
      <c r="AF156" t="s">
        <v>1855</v>
      </c>
      <c r="AG156" s="313"/>
      <c r="AH156" s="313"/>
      <c r="AI156" s="313"/>
      <c r="AJ156" s="313"/>
      <c r="AK156" s="313"/>
      <c r="AL156" s="313"/>
      <c r="AM156" s="313"/>
      <c r="AN156" s="313"/>
      <c r="AO156" s="313"/>
      <c r="AP156" s="313"/>
      <c r="AQ156" s="313"/>
      <c r="AR156" s="313"/>
      <c r="AS156" s="313"/>
      <c r="AT156" s="313"/>
      <c r="AU156" s="313"/>
      <c r="AV156" s="313"/>
      <c r="AX156" s="315">
        <f t="shared" si="116"/>
        <v>95</v>
      </c>
      <c r="AY156" s="315">
        <f t="shared" si="117"/>
        <v>0</v>
      </c>
      <c r="AZ156" s="313" t="s">
        <v>784</v>
      </c>
      <c r="BA156" s="313" t="s">
        <v>604</v>
      </c>
      <c r="BB156" s="313" t="s">
        <v>607</v>
      </c>
      <c r="BC156" s="313" t="s">
        <v>2555</v>
      </c>
      <c r="BD156" s="315" t="s">
        <v>2547</v>
      </c>
      <c r="BE156" s="313" t="s">
        <v>2592</v>
      </c>
      <c r="BF156" s="315">
        <v>4</v>
      </c>
      <c r="BG156" s="313" t="s">
        <v>2548</v>
      </c>
      <c r="BH156" s="313">
        <v>40</v>
      </c>
      <c r="BI156" s="313">
        <v>95</v>
      </c>
      <c r="BJ156" s="313" t="s">
        <v>2560</v>
      </c>
      <c r="BK156" s="313">
        <v>-2</v>
      </c>
      <c r="BL156" s="313">
        <v>1</v>
      </c>
      <c r="BM156" s="313">
        <v>5</v>
      </c>
      <c r="BN156" s="313">
        <v>1</v>
      </c>
      <c r="BO156" s="313">
        <v>-3</v>
      </c>
      <c r="BP156" s="313"/>
    </row>
    <row r="157" spans="1:68">
      <c r="A157" s="313" t="s">
        <v>606</v>
      </c>
      <c r="B157" s="315" t="str">
        <f t="shared" si="104"/>
        <v>1D3</v>
      </c>
      <c r="C157" s="313" t="str">
        <f t="shared" si="105"/>
        <v>Herbivore</v>
      </c>
      <c r="D157" s="313" t="str">
        <f t="shared" si="106"/>
        <v>Non-threatening</v>
      </c>
      <c r="E157" s="315">
        <v>0</v>
      </c>
      <c r="F157" s="315">
        <v>0</v>
      </c>
      <c r="G157" s="315">
        <v>0</v>
      </c>
      <c r="H157" s="315">
        <v>0</v>
      </c>
      <c r="I157" s="315">
        <v>0</v>
      </c>
      <c r="J157" s="315">
        <v>0</v>
      </c>
      <c r="K157" s="315">
        <v>0</v>
      </c>
      <c r="L157" s="315">
        <v>0</v>
      </c>
      <c r="M157" s="315">
        <v>15</v>
      </c>
      <c r="N157" s="315">
        <v>0</v>
      </c>
      <c r="O157" s="315">
        <f t="shared" si="107"/>
        <v>3</v>
      </c>
      <c r="P157" s="315">
        <f t="shared" si="108"/>
        <v>-3</v>
      </c>
      <c r="Q157" s="315" t="str">
        <f t="shared" si="109"/>
        <v>Fur/Feathers</v>
      </c>
      <c r="R157" s="315" t="str">
        <f t="shared" si="110"/>
        <v>Fur/Feathers</v>
      </c>
      <c r="S157" s="315" t="str">
        <f t="shared" si="111"/>
        <v>Fur/Feathers</v>
      </c>
      <c r="T157" s="315" t="str">
        <f t="shared" si="112"/>
        <v>Fur/Feathers</v>
      </c>
      <c r="U157" s="315" t="str">
        <f t="shared" si="113"/>
        <v>Fur/Feathers</v>
      </c>
      <c r="V157" s="315" t="str">
        <f t="shared" si="114"/>
        <v>Fur/Feathers</v>
      </c>
      <c r="W157" s="313" t="s">
        <v>2674</v>
      </c>
      <c r="X157" s="313" t="s">
        <v>2529</v>
      </c>
      <c r="Y157" s="313"/>
      <c r="Z157" s="313"/>
      <c r="AA157" s="313"/>
      <c r="AB157" s="313"/>
      <c r="AC157" s="313"/>
      <c r="AD157" s="315">
        <f t="shared" si="103"/>
        <v>5</v>
      </c>
      <c r="AE157" s="315">
        <f t="shared" ref="AE157" si="118">AD157</f>
        <v>5</v>
      </c>
      <c r="AF157" t="s">
        <v>1855</v>
      </c>
      <c r="AG157" s="313"/>
      <c r="AH157" s="313"/>
      <c r="AI157" s="313"/>
      <c r="AJ157" s="313"/>
      <c r="AK157" s="313"/>
      <c r="AL157" s="313"/>
      <c r="AM157" s="313"/>
      <c r="AN157" s="313"/>
      <c r="AO157" s="313"/>
      <c r="AP157" s="313"/>
      <c r="AQ157" s="313"/>
      <c r="AR157" s="313"/>
      <c r="AS157" s="313"/>
      <c r="AT157" s="313"/>
      <c r="AU157" s="313"/>
      <c r="AV157" s="313"/>
      <c r="AX157" s="315">
        <f t="shared" si="116"/>
        <v>100</v>
      </c>
      <c r="AY157" s="315">
        <f t="shared" si="117"/>
        <v>0</v>
      </c>
      <c r="AZ157" s="313" t="s">
        <v>784</v>
      </c>
      <c r="BA157" s="313" t="s">
        <v>604</v>
      </c>
      <c r="BB157" s="313" t="s">
        <v>606</v>
      </c>
      <c r="BC157" s="313" t="s">
        <v>2478</v>
      </c>
      <c r="BD157" s="315" t="s">
        <v>2547</v>
      </c>
      <c r="BE157" s="313" t="s">
        <v>2488</v>
      </c>
      <c r="BF157" s="315">
        <v>3</v>
      </c>
      <c r="BG157" s="313" t="s">
        <v>2491</v>
      </c>
      <c r="BH157" s="313">
        <v>20</v>
      </c>
      <c r="BI157" s="313">
        <v>100</v>
      </c>
      <c r="BJ157" s="313" t="s">
        <v>2560</v>
      </c>
      <c r="BK157" s="313">
        <v>-3</v>
      </c>
      <c r="BL157" s="313">
        <v>1</v>
      </c>
      <c r="BM157" s="313">
        <v>4</v>
      </c>
      <c r="BN157" s="313">
        <v>1</v>
      </c>
      <c r="BO157" s="313">
        <v>-6</v>
      </c>
      <c r="BP157" s="313"/>
    </row>
    <row r="158" spans="1:68">
      <c r="A158" s="313" t="s">
        <v>608</v>
      </c>
      <c r="B158" s="315" t="str">
        <f t="shared" si="104"/>
        <v>1D3</v>
      </c>
      <c r="C158" s="313" t="str">
        <f t="shared" si="105"/>
        <v>Carnivore</v>
      </c>
      <c r="D158" s="313" t="str">
        <f t="shared" si="106"/>
        <v>Aggressive</v>
      </c>
      <c r="E158" s="315">
        <v>0</v>
      </c>
      <c r="F158" s="315">
        <v>0</v>
      </c>
      <c r="G158" s="315">
        <v>0</v>
      </c>
      <c r="H158" s="315">
        <v>0</v>
      </c>
      <c r="I158" s="315">
        <v>0</v>
      </c>
      <c r="J158" s="315">
        <v>0</v>
      </c>
      <c r="K158" s="315">
        <v>0</v>
      </c>
      <c r="L158" s="315">
        <v>0</v>
      </c>
      <c r="M158" s="315">
        <v>15</v>
      </c>
      <c r="N158" s="315">
        <v>0</v>
      </c>
      <c r="O158" s="315">
        <f t="shared" si="107"/>
        <v>5</v>
      </c>
      <c r="P158" s="315">
        <f t="shared" si="108"/>
        <v>0</v>
      </c>
      <c r="Q158" s="315" t="str">
        <f t="shared" si="109"/>
        <v>Fur/Feathers</v>
      </c>
      <c r="R158" s="315" t="str">
        <f t="shared" si="110"/>
        <v>Fur/Feathers</v>
      </c>
      <c r="S158" s="315" t="str">
        <f t="shared" si="111"/>
        <v>Fur/Feathers</v>
      </c>
      <c r="T158" s="315" t="str">
        <f t="shared" si="112"/>
        <v>Fur/Feathers</v>
      </c>
      <c r="U158" s="315" t="str">
        <f t="shared" si="113"/>
        <v>Fur/Feathers</v>
      </c>
      <c r="V158" s="315" t="str">
        <f t="shared" si="114"/>
        <v>Fur/Feathers</v>
      </c>
      <c r="W158" s="313" t="s">
        <v>2673</v>
      </c>
      <c r="X158" s="313" t="s">
        <v>2529</v>
      </c>
      <c r="Y158" s="313" t="s">
        <v>2543</v>
      </c>
      <c r="Z158" s="313" t="s">
        <v>2543</v>
      </c>
      <c r="AA158" s="313"/>
      <c r="AB158" s="313"/>
      <c r="AC158" s="313"/>
      <c r="AD158" s="315">
        <f t="shared" si="103"/>
        <v>10</v>
      </c>
      <c r="AE158" s="315">
        <f t="shared" si="115"/>
        <v>10</v>
      </c>
      <c r="AF158" t="s">
        <v>1855</v>
      </c>
      <c r="AG158" s="313"/>
      <c r="AH158" s="313"/>
      <c r="AI158" s="313"/>
      <c r="AJ158" s="313"/>
      <c r="AK158" s="313"/>
      <c r="AL158" s="313"/>
      <c r="AM158" s="313"/>
      <c r="AN158" s="313"/>
      <c r="AO158" s="313"/>
      <c r="AP158" s="313"/>
      <c r="AQ158" s="313"/>
      <c r="AR158" s="313"/>
      <c r="AS158" s="313"/>
      <c r="AT158" s="313"/>
      <c r="AU158" s="313"/>
      <c r="AV158" s="313"/>
      <c r="AX158" s="315">
        <f t="shared" si="116"/>
        <v>85</v>
      </c>
      <c r="AY158" s="315">
        <f t="shared" si="117"/>
        <v>0</v>
      </c>
      <c r="AZ158" s="313" t="s">
        <v>784</v>
      </c>
      <c r="BA158" s="313" t="s">
        <v>604</v>
      </c>
      <c r="BB158" s="313" t="s">
        <v>608</v>
      </c>
      <c r="BC158" s="313" t="s">
        <v>2486</v>
      </c>
      <c r="BD158" s="315" t="s">
        <v>2547</v>
      </c>
      <c r="BE158" s="313" t="s">
        <v>2592</v>
      </c>
      <c r="BF158" s="315">
        <v>5</v>
      </c>
      <c r="BG158" s="313" t="s">
        <v>2548</v>
      </c>
      <c r="BH158" s="313">
        <v>80</v>
      </c>
      <c r="BI158" s="313">
        <v>85</v>
      </c>
      <c r="BJ158" s="313" t="s">
        <v>2560</v>
      </c>
      <c r="BK158" s="313">
        <v>0</v>
      </c>
      <c r="BL158" s="313">
        <v>3</v>
      </c>
      <c r="BM158" s="313">
        <v>8</v>
      </c>
      <c r="BN158" s="313">
        <v>2</v>
      </c>
      <c r="BO158" s="313">
        <v>0</v>
      </c>
      <c r="BP158" s="313"/>
    </row>
    <row r="159" spans="1:68">
      <c r="A159" s="313" t="s">
        <v>2666</v>
      </c>
      <c r="B159" s="315" t="str">
        <f t="shared" ref="B159" si="119">BD159</f>
        <v>3D6</v>
      </c>
      <c r="C159" s="313" t="str">
        <f t="shared" ref="C159" si="120">BC159</f>
        <v>Carnivore</v>
      </c>
      <c r="D159" s="313" t="str">
        <f t="shared" ref="D159" si="121">BE159</f>
        <v>Ferocious</v>
      </c>
      <c r="E159" s="315">
        <v>0</v>
      </c>
      <c r="F159" s="315">
        <v>0</v>
      </c>
      <c r="G159" s="315">
        <v>0</v>
      </c>
      <c r="H159" s="315">
        <v>0</v>
      </c>
      <c r="I159" s="315">
        <v>0</v>
      </c>
      <c r="J159" s="315">
        <v>0</v>
      </c>
      <c r="K159" s="315">
        <v>0</v>
      </c>
      <c r="L159" s="315">
        <v>0</v>
      </c>
      <c r="M159" s="315">
        <v>15</v>
      </c>
      <c r="N159" s="315">
        <v>0</v>
      </c>
      <c r="O159" s="315">
        <f t="shared" ref="O159" si="122">BF159</f>
        <v>6</v>
      </c>
      <c r="P159" s="315">
        <f t="shared" ref="P159" si="123">LOOKUP(BH159,$BU$54:$BU$71,$BS$54:$BS$71)</f>
        <v>0</v>
      </c>
      <c r="Q159" s="315" t="str">
        <f t="shared" ref="Q159" si="124">BJ159</f>
        <v>Light Hide</v>
      </c>
      <c r="R159" s="315" t="str">
        <f t="shared" ref="R159" si="125">Q159</f>
        <v>Light Hide</v>
      </c>
      <c r="S159" s="315" t="str">
        <f t="shared" ref="S159" si="126">Q159</f>
        <v>Light Hide</v>
      </c>
      <c r="T159" s="315" t="str">
        <f t="shared" ref="T159" si="127">Q159</f>
        <v>Light Hide</v>
      </c>
      <c r="U159" s="315" t="str">
        <f t="shared" ref="U159" si="128">Q159</f>
        <v>Light Hide</v>
      </c>
      <c r="V159" s="315" t="str">
        <f t="shared" ref="V159" si="129">Q159</f>
        <v>Light Hide</v>
      </c>
      <c r="W159" s="313" t="s">
        <v>2660</v>
      </c>
      <c r="X159" s="313" t="s">
        <v>2529</v>
      </c>
      <c r="Y159" s="313" t="s">
        <v>2543</v>
      </c>
      <c r="Z159" s="313" t="s">
        <v>2543</v>
      </c>
      <c r="AA159" s="313"/>
      <c r="AB159" s="313"/>
      <c r="AC159" s="313"/>
      <c r="AD159" s="315">
        <f t="shared" si="103"/>
        <v>10</v>
      </c>
      <c r="AE159" s="315">
        <f t="shared" ref="AE159" si="130">AD159</f>
        <v>10</v>
      </c>
      <c r="AF159" t="s">
        <v>1855</v>
      </c>
      <c r="AG159" s="313"/>
      <c r="AH159" s="313"/>
      <c r="AI159" s="313"/>
      <c r="AJ159" s="313"/>
      <c r="AK159" s="313"/>
      <c r="AL159" s="313"/>
      <c r="AM159" s="313"/>
      <c r="AN159" s="313"/>
      <c r="AO159" s="313"/>
      <c r="AP159" s="313"/>
      <c r="AQ159" s="313"/>
      <c r="AR159" s="313"/>
      <c r="AS159" s="313"/>
      <c r="AT159" s="313"/>
      <c r="AU159" s="313"/>
      <c r="AV159" s="313"/>
      <c r="AX159" s="315">
        <f t="shared" ref="AX159" si="131">BI159</f>
        <v>75</v>
      </c>
      <c r="AY159" s="315">
        <f t="shared" ref="AY159" si="132">BP159</f>
        <v>0</v>
      </c>
      <c r="AZ159" s="313" t="s">
        <v>784</v>
      </c>
      <c r="BA159" s="313" t="s">
        <v>859</v>
      </c>
      <c r="BB159" s="313" t="s">
        <v>2666</v>
      </c>
      <c r="BC159" s="313" t="s">
        <v>2486</v>
      </c>
      <c r="BD159" s="315" t="s">
        <v>2487</v>
      </c>
      <c r="BE159" s="313" t="s">
        <v>2650</v>
      </c>
      <c r="BF159" s="315">
        <v>6</v>
      </c>
      <c r="BG159" s="313" t="s">
        <v>2548</v>
      </c>
      <c r="BH159" s="313">
        <v>80</v>
      </c>
      <c r="BI159" s="313">
        <v>75</v>
      </c>
      <c r="BJ159" s="313" t="s">
        <v>2482</v>
      </c>
      <c r="BK159" s="313">
        <v>0</v>
      </c>
      <c r="BL159" s="313">
        <v>3</v>
      </c>
      <c r="BM159" s="313">
        <v>6</v>
      </c>
      <c r="BN159" s="313">
        <v>2</v>
      </c>
      <c r="BO159" s="313">
        <v>0</v>
      </c>
      <c r="BP159" s="313"/>
    </row>
    <row r="160" spans="1:68">
      <c r="A160" s="313" t="s">
        <v>2667</v>
      </c>
      <c r="B160" s="315" t="str">
        <f t="shared" si="104"/>
        <v>1D6</v>
      </c>
      <c r="C160" s="313" t="str">
        <f t="shared" si="105"/>
        <v>Carnivore</v>
      </c>
      <c r="D160" s="313" t="str">
        <f t="shared" si="106"/>
        <v>Ferocious</v>
      </c>
      <c r="E160" s="315">
        <v>0</v>
      </c>
      <c r="F160" s="315">
        <v>0</v>
      </c>
      <c r="G160" s="315">
        <v>0</v>
      </c>
      <c r="H160" s="315">
        <v>0</v>
      </c>
      <c r="I160" s="315">
        <v>0</v>
      </c>
      <c r="J160" s="315">
        <v>0</v>
      </c>
      <c r="K160" s="315">
        <v>0</v>
      </c>
      <c r="L160" s="315">
        <v>0</v>
      </c>
      <c r="M160" s="315">
        <v>15</v>
      </c>
      <c r="N160" s="315">
        <v>0</v>
      </c>
      <c r="O160" s="315">
        <f t="shared" si="107"/>
        <v>6</v>
      </c>
      <c r="P160" s="315">
        <f t="shared" si="108"/>
        <v>0</v>
      </c>
      <c r="Q160" s="315" t="str">
        <f t="shared" si="109"/>
        <v>Light Hide</v>
      </c>
      <c r="R160" s="315" t="str">
        <f t="shared" si="110"/>
        <v>Light Hide</v>
      </c>
      <c r="S160" s="315" t="str">
        <f t="shared" si="111"/>
        <v>Light Hide</v>
      </c>
      <c r="T160" s="315" t="str">
        <f t="shared" si="112"/>
        <v>Light Hide</v>
      </c>
      <c r="U160" s="315" t="str">
        <f t="shared" si="113"/>
        <v>Light Hide</v>
      </c>
      <c r="V160" s="315" t="str">
        <f t="shared" si="114"/>
        <v>Light Hide</v>
      </c>
      <c r="W160" s="313" t="s">
        <v>2661</v>
      </c>
      <c r="X160" s="313" t="s">
        <v>2529</v>
      </c>
      <c r="Y160" s="313" t="s">
        <v>2543</v>
      </c>
      <c r="Z160" s="313" t="s">
        <v>2543</v>
      </c>
      <c r="AA160" s="313"/>
      <c r="AB160" s="313"/>
      <c r="AC160" s="313"/>
      <c r="AD160" s="315">
        <f t="shared" si="103"/>
        <v>10</v>
      </c>
      <c r="AE160" s="315">
        <f t="shared" si="115"/>
        <v>10</v>
      </c>
      <c r="AF160" s="313"/>
      <c r="AG160" s="313"/>
      <c r="AH160" s="313"/>
      <c r="AI160" s="313"/>
      <c r="AJ160" s="313"/>
      <c r="AK160" s="313"/>
      <c r="AL160" s="313"/>
      <c r="AM160" s="313"/>
      <c r="AN160" s="313"/>
      <c r="AO160" s="313"/>
      <c r="AP160" s="313"/>
      <c r="AQ160" s="313"/>
      <c r="AR160" s="313"/>
      <c r="AS160" s="313"/>
      <c r="AT160" s="313"/>
      <c r="AU160" s="313"/>
      <c r="AV160" s="313"/>
      <c r="AX160" s="315">
        <f t="shared" si="116"/>
        <v>75</v>
      </c>
      <c r="AY160" s="315">
        <f t="shared" si="117"/>
        <v>0</v>
      </c>
      <c r="AZ160" s="313" t="s">
        <v>784</v>
      </c>
      <c r="BA160" s="313" t="s">
        <v>859</v>
      </c>
      <c r="BB160" s="313" t="s">
        <v>2667</v>
      </c>
      <c r="BC160" s="313" t="s">
        <v>2486</v>
      </c>
      <c r="BD160" s="315" t="s">
        <v>2479</v>
      </c>
      <c r="BE160" s="313" t="s">
        <v>2650</v>
      </c>
      <c r="BF160" s="315">
        <v>6</v>
      </c>
      <c r="BG160" s="313" t="s">
        <v>2548</v>
      </c>
      <c r="BH160" s="313">
        <v>80</v>
      </c>
      <c r="BI160" s="313">
        <v>75</v>
      </c>
      <c r="BJ160" s="313" t="s">
        <v>2482</v>
      </c>
      <c r="BK160" s="313">
        <v>0</v>
      </c>
      <c r="BL160" s="313">
        <v>3</v>
      </c>
      <c r="BM160" s="313">
        <v>6</v>
      </c>
      <c r="BN160" s="313">
        <v>3</v>
      </c>
      <c r="BO160" s="313">
        <v>0</v>
      </c>
      <c r="BP160" s="313"/>
    </row>
    <row r="161" spans="1:68">
      <c r="A161" s="313" t="s">
        <v>2668</v>
      </c>
      <c r="B161" s="315" t="str">
        <f t="shared" si="104"/>
        <v>2D6</v>
      </c>
      <c r="C161" s="313" t="str">
        <f t="shared" si="105"/>
        <v>Carnivore</v>
      </c>
      <c r="D161" s="313" t="str">
        <f t="shared" si="106"/>
        <v>Ferocious</v>
      </c>
      <c r="E161" s="315">
        <v>0</v>
      </c>
      <c r="F161" s="315">
        <v>0</v>
      </c>
      <c r="G161" s="315">
        <v>0</v>
      </c>
      <c r="H161" s="315">
        <v>0</v>
      </c>
      <c r="I161" s="315">
        <v>0</v>
      </c>
      <c r="J161" s="315">
        <v>0</v>
      </c>
      <c r="K161" s="315">
        <v>0</v>
      </c>
      <c r="L161" s="315">
        <v>0</v>
      </c>
      <c r="M161" s="315">
        <v>15</v>
      </c>
      <c r="N161" s="315">
        <v>0</v>
      </c>
      <c r="O161" s="315">
        <f t="shared" si="107"/>
        <v>6</v>
      </c>
      <c r="P161" s="315">
        <f t="shared" si="108"/>
        <v>0</v>
      </c>
      <c r="Q161" s="315" t="str">
        <f t="shared" si="109"/>
        <v>Light Hide</v>
      </c>
      <c r="R161" s="315" t="str">
        <f t="shared" si="110"/>
        <v>Light Hide</v>
      </c>
      <c r="S161" s="315" t="str">
        <f t="shared" si="111"/>
        <v>Light Hide</v>
      </c>
      <c r="T161" s="315" t="str">
        <f t="shared" si="112"/>
        <v>Light Hide</v>
      </c>
      <c r="U161" s="315" t="str">
        <f t="shared" si="113"/>
        <v>Light Hide</v>
      </c>
      <c r="V161" s="315" t="str">
        <f t="shared" si="114"/>
        <v>Light Hide</v>
      </c>
      <c r="W161" s="313" t="s">
        <v>2658</v>
      </c>
      <c r="X161" s="313" t="s">
        <v>2530</v>
      </c>
      <c r="Y161" s="313" t="s">
        <v>2543</v>
      </c>
      <c r="Z161" s="313" t="s">
        <v>2543</v>
      </c>
      <c r="AA161" s="313"/>
      <c r="AB161" s="313"/>
      <c r="AC161" s="313"/>
      <c r="AD161" s="315">
        <f t="shared" si="103"/>
        <v>5</v>
      </c>
      <c r="AE161" s="315">
        <f t="shared" si="115"/>
        <v>5</v>
      </c>
      <c r="AF161" s="313"/>
      <c r="AG161" s="313"/>
      <c r="AH161" s="313"/>
      <c r="AI161" s="313"/>
      <c r="AJ161" s="313"/>
      <c r="AK161" s="313"/>
      <c r="AL161" s="313"/>
      <c r="AM161" s="313"/>
      <c r="AN161" s="313"/>
      <c r="AO161" s="313"/>
      <c r="AP161" s="313"/>
      <c r="AQ161" s="313"/>
      <c r="AR161" s="313"/>
      <c r="AS161" s="313"/>
      <c r="AT161" s="313"/>
      <c r="AU161" s="313"/>
      <c r="AV161" s="313"/>
      <c r="AX161" s="315">
        <f t="shared" si="116"/>
        <v>75</v>
      </c>
      <c r="AY161" s="315">
        <f t="shared" si="117"/>
        <v>0</v>
      </c>
      <c r="AZ161" s="313" t="s">
        <v>784</v>
      </c>
      <c r="BA161" s="313" t="s">
        <v>859</v>
      </c>
      <c r="BB161" s="313" t="s">
        <v>2668</v>
      </c>
      <c r="BC161" s="313" t="s">
        <v>2486</v>
      </c>
      <c r="BD161" s="315" t="s">
        <v>2591</v>
      </c>
      <c r="BE161" s="313" t="s">
        <v>2650</v>
      </c>
      <c r="BF161" s="315">
        <v>6</v>
      </c>
      <c r="BG161" s="313" t="s">
        <v>2491</v>
      </c>
      <c r="BH161" s="313">
        <v>80</v>
      </c>
      <c r="BI161" s="313">
        <v>75</v>
      </c>
      <c r="BJ161" s="313" t="s">
        <v>2482</v>
      </c>
      <c r="BK161" s="313">
        <v>0</v>
      </c>
      <c r="BL161" s="313">
        <v>3</v>
      </c>
      <c r="BM161" s="313">
        <v>6</v>
      </c>
      <c r="BN161" s="313">
        <v>2</v>
      </c>
      <c r="BO161" s="313">
        <v>0</v>
      </c>
      <c r="BP161" s="313"/>
    </row>
    <row r="162" spans="1:68">
      <c r="A162" s="313" t="s">
        <v>2669</v>
      </c>
      <c r="B162" s="315">
        <f t="shared" si="104"/>
        <v>1</v>
      </c>
      <c r="C162" s="313" t="str">
        <f t="shared" si="105"/>
        <v>Carnivore</v>
      </c>
      <c r="D162" s="313" t="str">
        <f t="shared" si="106"/>
        <v>Ferocious</v>
      </c>
      <c r="E162" s="315">
        <v>0</v>
      </c>
      <c r="F162" s="315">
        <v>0</v>
      </c>
      <c r="G162" s="315">
        <v>0</v>
      </c>
      <c r="H162" s="315">
        <v>0</v>
      </c>
      <c r="I162" s="315">
        <v>0</v>
      </c>
      <c r="J162" s="315">
        <v>0</v>
      </c>
      <c r="K162" s="315">
        <v>0</v>
      </c>
      <c r="L162" s="315">
        <v>0</v>
      </c>
      <c r="M162" s="315">
        <v>15</v>
      </c>
      <c r="N162" s="315">
        <v>0</v>
      </c>
      <c r="O162" s="315">
        <f t="shared" si="107"/>
        <v>1</v>
      </c>
      <c r="P162" s="315">
        <f t="shared" si="108"/>
        <v>4</v>
      </c>
      <c r="Q162" s="315" t="str">
        <f t="shared" si="109"/>
        <v>Light Hide</v>
      </c>
      <c r="R162" s="315" t="str">
        <f t="shared" si="110"/>
        <v>Light Hide</v>
      </c>
      <c r="S162" s="315" t="str">
        <f t="shared" si="111"/>
        <v>Light Hide</v>
      </c>
      <c r="T162" s="315" t="str">
        <f t="shared" si="112"/>
        <v>Light Hide</v>
      </c>
      <c r="U162" s="315" t="str">
        <f t="shared" si="113"/>
        <v>Light Hide</v>
      </c>
      <c r="V162" s="315" t="str">
        <f t="shared" si="114"/>
        <v>Light Hide</v>
      </c>
      <c r="W162" s="313" t="s">
        <v>2675</v>
      </c>
      <c r="X162" s="313" t="s">
        <v>2529</v>
      </c>
      <c r="Y162" s="313" t="s">
        <v>2543</v>
      </c>
      <c r="Z162" s="313" t="s">
        <v>2543</v>
      </c>
      <c r="AA162" s="313" t="s">
        <v>2530</v>
      </c>
      <c r="AB162" s="313"/>
      <c r="AC162" s="313"/>
      <c r="AD162" s="315">
        <f t="shared" si="103"/>
        <v>20</v>
      </c>
      <c r="AE162" s="315">
        <f t="shared" si="115"/>
        <v>20</v>
      </c>
      <c r="AF162" s="313"/>
      <c r="AG162" s="313"/>
      <c r="AH162" s="313"/>
      <c r="AI162" s="313"/>
      <c r="AJ162" s="313"/>
      <c r="AK162" s="313"/>
      <c r="AL162" s="313"/>
      <c r="AM162" s="313"/>
      <c r="AN162" s="313"/>
      <c r="AO162" s="313"/>
      <c r="AP162" s="313"/>
      <c r="AQ162" s="313"/>
      <c r="AR162" s="313"/>
      <c r="AS162" s="313"/>
      <c r="AT162" s="313"/>
      <c r="AU162" s="313"/>
      <c r="AV162" s="313"/>
      <c r="AX162" s="315">
        <f t="shared" si="116"/>
        <v>0</v>
      </c>
      <c r="AY162" s="315">
        <f t="shared" si="117"/>
        <v>0</v>
      </c>
      <c r="AZ162" s="313" t="s">
        <v>784</v>
      </c>
      <c r="BA162" s="313" t="s">
        <v>859</v>
      </c>
      <c r="BB162" s="313" t="s">
        <v>2669</v>
      </c>
      <c r="BC162" s="313" t="s">
        <v>2486</v>
      </c>
      <c r="BD162" s="315">
        <v>1</v>
      </c>
      <c r="BE162" s="313" t="s">
        <v>2650</v>
      </c>
      <c r="BF162" s="315">
        <v>1</v>
      </c>
      <c r="BG162" s="313" t="s">
        <v>2671</v>
      </c>
      <c r="BH162" s="313">
        <v>2000</v>
      </c>
      <c r="BI162" s="313">
        <v>0</v>
      </c>
      <c r="BJ162" s="313" t="s">
        <v>2635</v>
      </c>
      <c r="BK162" s="313">
        <v>0</v>
      </c>
      <c r="BL162" s="313">
        <v>14</v>
      </c>
      <c r="BM162" s="313">
        <v>24</v>
      </c>
      <c r="BN162" s="313">
        <v>1</v>
      </c>
      <c r="BO162" s="313">
        <v>4</v>
      </c>
      <c r="BP162" s="313"/>
    </row>
    <row r="163" spans="1:68">
      <c r="A163" s="313" t="s">
        <v>2670</v>
      </c>
      <c r="B163" s="315" t="str">
        <f t="shared" si="104"/>
        <v>1D6</v>
      </c>
      <c r="C163" s="313" t="str">
        <f t="shared" si="105"/>
        <v>Carnivore</v>
      </c>
      <c r="D163" s="313" t="str">
        <f t="shared" si="106"/>
        <v>Ferocious</v>
      </c>
      <c r="E163" s="315">
        <v>0</v>
      </c>
      <c r="F163" s="315">
        <v>0</v>
      </c>
      <c r="G163" s="315">
        <v>0</v>
      </c>
      <c r="H163" s="315">
        <v>0</v>
      </c>
      <c r="I163" s="315">
        <v>0</v>
      </c>
      <c r="J163" s="315">
        <v>0</v>
      </c>
      <c r="K163" s="315">
        <v>0</v>
      </c>
      <c r="L163" s="315">
        <v>0</v>
      </c>
      <c r="M163" s="315">
        <v>15</v>
      </c>
      <c r="N163" s="315">
        <v>0</v>
      </c>
      <c r="O163" s="315">
        <f t="shared" si="107"/>
        <v>2</v>
      </c>
      <c r="P163" s="315">
        <f t="shared" si="108"/>
        <v>0</v>
      </c>
      <c r="Q163" s="315" t="str">
        <f t="shared" si="109"/>
        <v>Light Hide</v>
      </c>
      <c r="R163" s="315" t="str">
        <f t="shared" si="110"/>
        <v>Light Hide</v>
      </c>
      <c r="S163" s="315" t="str">
        <f t="shared" si="111"/>
        <v>Light Hide</v>
      </c>
      <c r="T163" s="315" t="str">
        <f t="shared" si="112"/>
        <v>Light Hide</v>
      </c>
      <c r="U163" s="315" t="str">
        <f t="shared" si="113"/>
        <v>Light Hide</v>
      </c>
      <c r="V163" s="315" t="str">
        <f t="shared" si="114"/>
        <v>Light Hide</v>
      </c>
      <c r="W163" s="313" t="s">
        <v>2662</v>
      </c>
      <c r="X163" s="313" t="s">
        <v>2543</v>
      </c>
      <c r="Y163" s="313" t="s">
        <v>2543</v>
      </c>
      <c r="Z163" s="313"/>
      <c r="AA163" s="313"/>
      <c r="AB163" s="313"/>
      <c r="AC163" s="313"/>
      <c r="AD163" s="315">
        <f t="shared" si="103"/>
        <v>10</v>
      </c>
      <c r="AE163" s="315">
        <f t="shared" si="115"/>
        <v>10</v>
      </c>
      <c r="AF163" s="313"/>
      <c r="AG163" s="313"/>
      <c r="AH163" s="313" t="s">
        <v>2663</v>
      </c>
      <c r="AI163" s="313"/>
      <c r="AJ163" s="313"/>
      <c r="AK163" s="313"/>
      <c r="AL163" s="313"/>
      <c r="AM163" s="313"/>
      <c r="AN163" s="313"/>
      <c r="AO163" s="313"/>
      <c r="AP163" s="313"/>
      <c r="AQ163" s="313"/>
      <c r="AR163" s="313"/>
      <c r="AS163" s="313"/>
      <c r="AT163" s="313"/>
      <c r="AU163" s="313"/>
      <c r="AV163" s="313"/>
      <c r="AX163" s="315">
        <f t="shared" si="116"/>
        <v>75</v>
      </c>
      <c r="AY163" s="315">
        <f t="shared" si="117"/>
        <v>0</v>
      </c>
      <c r="AZ163" s="313" t="s">
        <v>784</v>
      </c>
      <c r="BA163" s="313" t="s">
        <v>859</v>
      </c>
      <c r="BB163" s="313" t="s">
        <v>2670</v>
      </c>
      <c r="BC163" s="313" t="s">
        <v>2486</v>
      </c>
      <c r="BD163" s="315" t="s">
        <v>2479</v>
      </c>
      <c r="BE163" s="313" t="s">
        <v>2650</v>
      </c>
      <c r="BF163" s="315">
        <v>2</v>
      </c>
      <c r="BG163" s="313" t="s">
        <v>2548</v>
      </c>
      <c r="BH163" s="313">
        <v>80</v>
      </c>
      <c r="BI163" s="313">
        <v>75</v>
      </c>
      <c r="BJ163" s="313" t="s">
        <v>2482</v>
      </c>
      <c r="BK163" s="313">
        <v>0</v>
      </c>
      <c r="BL163" s="313">
        <v>3</v>
      </c>
      <c r="BM163" s="313">
        <v>6</v>
      </c>
      <c r="BN163" s="313">
        <v>7</v>
      </c>
      <c r="BO163" s="313">
        <v>0</v>
      </c>
      <c r="BP163" s="313"/>
    </row>
    <row r="164" spans="1:68">
      <c r="A164" s="313" t="s">
        <v>975</v>
      </c>
      <c r="B164" s="315">
        <f t="shared" si="104"/>
        <v>0</v>
      </c>
      <c r="C164" s="313" t="str">
        <f t="shared" si="105"/>
        <v>No Stats</v>
      </c>
      <c r="D164" s="313">
        <f t="shared" si="106"/>
        <v>0</v>
      </c>
      <c r="E164" s="315">
        <v>0</v>
      </c>
      <c r="F164" s="315">
        <v>0</v>
      </c>
      <c r="G164" s="315">
        <v>0</v>
      </c>
      <c r="H164" s="315">
        <v>0</v>
      </c>
      <c r="I164" s="315">
        <v>0</v>
      </c>
      <c r="J164" s="315">
        <v>0</v>
      </c>
      <c r="K164" s="315">
        <v>0</v>
      </c>
      <c r="L164" s="315">
        <v>0</v>
      </c>
      <c r="M164" s="315">
        <v>15</v>
      </c>
      <c r="N164" s="315">
        <v>0</v>
      </c>
      <c r="O164" s="315">
        <f t="shared" si="107"/>
        <v>0</v>
      </c>
      <c r="P164" s="315" t="e">
        <f t="shared" si="108"/>
        <v>#N/A</v>
      </c>
      <c r="Q164" s="315">
        <f t="shared" si="109"/>
        <v>0</v>
      </c>
      <c r="R164" s="315">
        <f t="shared" si="110"/>
        <v>0</v>
      </c>
      <c r="S164" s="315">
        <f t="shared" si="111"/>
        <v>0</v>
      </c>
      <c r="T164" s="315">
        <f t="shared" si="112"/>
        <v>0</v>
      </c>
      <c r="U164" s="315">
        <f t="shared" si="113"/>
        <v>0</v>
      </c>
      <c r="V164" s="315">
        <f t="shared" si="114"/>
        <v>0</v>
      </c>
      <c r="W164" s="313" t="s">
        <v>411</v>
      </c>
      <c r="X164" s="313"/>
      <c r="Y164" s="313"/>
      <c r="Z164" s="313"/>
      <c r="AA164" s="313"/>
      <c r="AB164" s="313"/>
      <c r="AC164" s="313"/>
      <c r="AD164" s="315" t="b">
        <f t="shared" si="103"/>
        <v>0</v>
      </c>
      <c r="AE164" s="315" t="b">
        <f t="shared" si="115"/>
        <v>0</v>
      </c>
      <c r="AF164" s="313"/>
      <c r="AG164" s="313"/>
      <c r="AH164" s="313"/>
      <c r="AI164" s="313"/>
      <c r="AJ164" s="313"/>
      <c r="AK164" s="313"/>
      <c r="AL164" s="313"/>
      <c r="AM164" s="313"/>
      <c r="AN164" s="313"/>
      <c r="AO164" s="313"/>
      <c r="AP164" s="313"/>
      <c r="AQ164" s="313"/>
      <c r="AR164" s="313"/>
      <c r="AS164" s="313"/>
      <c r="AT164" s="313"/>
      <c r="AU164" s="313"/>
      <c r="AV164" s="313"/>
      <c r="AX164" s="315">
        <f t="shared" si="116"/>
        <v>0</v>
      </c>
      <c r="AY164" s="315">
        <f t="shared" si="117"/>
        <v>0</v>
      </c>
      <c r="AZ164" s="313" t="s">
        <v>914</v>
      </c>
      <c r="BA164" s="313" t="s">
        <v>972</v>
      </c>
      <c r="BB164" s="313" t="s">
        <v>975</v>
      </c>
      <c r="BC164" s="313" t="s">
        <v>418</v>
      </c>
      <c r="BE164" s="313"/>
      <c r="BG164" s="313"/>
      <c r="BH164" s="313"/>
      <c r="BI164" s="313"/>
      <c r="BJ164" s="313"/>
      <c r="BK164" s="313"/>
      <c r="BL164" s="313"/>
      <c r="BM164" s="313"/>
      <c r="BN164" s="313"/>
      <c r="BO164" s="313"/>
      <c r="BP164" s="313"/>
    </row>
    <row r="165" spans="1:68">
      <c r="A165" s="313" t="s">
        <v>973</v>
      </c>
      <c r="B165" s="315">
        <f t="shared" si="104"/>
        <v>0</v>
      </c>
      <c r="C165" s="313" t="str">
        <f t="shared" si="105"/>
        <v>No Stats</v>
      </c>
      <c r="D165" s="313">
        <f t="shared" si="106"/>
        <v>0</v>
      </c>
      <c r="E165" s="315">
        <v>0</v>
      </c>
      <c r="F165" s="315">
        <v>0</v>
      </c>
      <c r="G165" s="315">
        <v>0</v>
      </c>
      <c r="H165" s="315">
        <v>0</v>
      </c>
      <c r="I165" s="315">
        <v>0</v>
      </c>
      <c r="J165" s="315">
        <v>0</v>
      </c>
      <c r="K165" s="315">
        <v>0</v>
      </c>
      <c r="L165" s="315">
        <v>0</v>
      </c>
      <c r="M165" s="315">
        <v>15</v>
      </c>
      <c r="N165" s="315">
        <v>0</v>
      </c>
      <c r="O165" s="315">
        <f t="shared" si="107"/>
        <v>0</v>
      </c>
      <c r="P165" s="315" t="e">
        <f t="shared" si="108"/>
        <v>#N/A</v>
      </c>
      <c r="Q165" s="315">
        <f t="shared" si="109"/>
        <v>0</v>
      </c>
      <c r="R165" s="315">
        <f t="shared" si="110"/>
        <v>0</v>
      </c>
      <c r="S165" s="315">
        <f t="shared" si="111"/>
        <v>0</v>
      </c>
      <c r="T165" s="315">
        <f t="shared" si="112"/>
        <v>0</v>
      </c>
      <c r="U165" s="315">
        <f t="shared" si="113"/>
        <v>0</v>
      </c>
      <c r="V165" s="315">
        <f t="shared" si="114"/>
        <v>0</v>
      </c>
      <c r="W165" s="313" t="s">
        <v>419</v>
      </c>
      <c r="X165" s="313"/>
      <c r="Y165" s="313"/>
      <c r="Z165" s="313"/>
      <c r="AA165" s="313"/>
      <c r="AB165" s="313"/>
      <c r="AC165" s="313"/>
      <c r="AD165" s="315" t="b">
        <f t="shared" si="103"/>
        <v>0</v>
      </c>
      <c r="AE165" s="315" t="b">
        <f t="shared" si="115"/>
        <v>0</v>
      </c>
      <c r="AF165" s="313"/>
      <c r="AG165" s="313"/>
      <c r="AH165" s="313"/>
      <c r="AI165" s="313"/>
      <c r="AJ165" s="313"/>
      <c r="AK165" s="313"/>
      <c r="AL165" s="313"/>
      <c r="AM165" s="313"/>
      <c r="AN165" s="313"/>
      <c r="AO165" s="313"/>
      <c r="AP165" s="313"/>
      <c r="AQ165" s="313"/>
      <c r="AR165" s="313"/>
      <c r="AS165" s="313"/>
      <c r="AT165" s="313"/>
      <c r="AU165" s="313"/>
      <c r="AV165" s="313"/>
      <c r="AX165" s="315">
        <f t="shared" si="116"/>
        <v>0</v>
      </c>
      <c r="AY165" s="315">
        <f t="shared" si="117"/>
        <v>0</v>
      </c>
      <c r="AZ165" s="313" t="s">
        <v>914</v>
      </c>
      <c r="BA165" s="313" t="s">
        <v>972</v>
      </c>
      <c r="BB165" s="313" t="s">
        <v>973</v>
      </c>
      <c r="BC165" s="313" t="s">
        <v>417</v>
      </c>
      <c r="BE165" s="313"/>
      <c r="BG165" s="313"/>
      <c r="BH165" s="313"/>
      <c r="BI165" s="313"/>
      <c r="BJ165" s="313"/>
      <c r="BK165" s="313"/>
      <c r="BL165" s="313"/>
      <c r="BM165" s="313"/>
      <c r="BN165" s="313"/>
      <c r="BO165" s="313"/>
      <c r="BP165" s="313"/>
    </row>
    <row r="166" spans="1:68">
      <c r="A166" s="313" t="s">
        <v>974</v>
      </c>
      <c r="B166" s="315">
        <f t="shared" si="104"/>
        <v>0</v>
      </c>
      <c r="C166" s="313" t="str">
        <f t="shared" si="105"/>
        <v>No Stats</v>
      </c>
      <c r="D166" s="313">
        <f t="shared" si="106"/>
        <v>0</v>
      </c>
      <c r="E166" s="315">
        <v>0</v>
      </c>
      <c r="F166" s="315">
        <v>0</v>
      </c>
      <c r="G166" s="315">
        <v>0</v>
      </c>
      <c r="H166" s="315">
        <v>0</v>
      </c>
      <c r="I166" s="315">
        <v>0</v>
      </c>
      <c r="J166" s="315">
        <v>0</v>
      </c>
      <c r="K166" s="315">
        <v>0</v>
      </c>
      <c r="L166" s="315">
        <v>0</v>
      </c>
      <c r="M166" s="315">
        <v>15</v>
      </c>
      <c r="N166" s="315">
        <v>0</v>
      </c>
      <c r="O166" s="315">
        <f t="shared" si="107"/>
        <v>0</v>
      </c>
      <c r="P166" s="315" t="e">
        <f t="shared" si="108"/>
        <v>#N/A</v>
      </c>
      <c r="Q166" s="315">
        <f t="shared" si="109"/>
        <v>0</v>
      </c>
      <c r="R166" s="315">
        <f t="shared" si="110"/>
        <v>0</v>
      </c>
      <c r="S166" s="315">
        <f t="shared" si="111"/>
        <v>0</v>
      </c>
      <c r="T166" s="315">
        <f t="shared" si="112"/>
        <v>0</v>
      </c>
      <c r="U166" s="315">
        <f t="shared" si="113"/>
        <v>0</v>
      </c>
      <c r="V166" s="315">
        <f t="shared" si="114"/>
        <v>0</v>
      </c>
      <c r="W166" s="313" t="s">
        <v>413</v>
      </c>
      <c r="X166" s="313"/>
      <c r="Y166" s="313"/>
      <c r="Z166" s="313"/>
      <c r="AA166" s="313"/>
      <c r="AB166" s="313"/>
      <c r="AC166" s="313"/>
      <c r="AD166" s="315" t="b">
        <f t="shared" si="103"/>
        <v>0</v>
      </c>
      <c r="AE166" s="315" t="b">
        <f t="shared" si="115"/>
        <v>0</v>
      </c>
      <c r="AF166" s="313"/>
      <c r="AG166" s="313"/>
      <c r="AH166" s="313"/>
      <c r="AI166" s="313"/>
      <c r="AJ166" s="313"/>
      <c r="AK166" s="313"/>
      <c r="AL166" s="313"/>
      <c r="AM166" s="313"/>
      <c r="AN166" s="313"/>
      <c r="AO166" s="313"/>
      <c r="AP166" s="313"/>
      <c r="AQ166" s="313"/>
      <c r="AR166" s="313"/>
      <c r="AS166" s="313"/>
      <c r="AT166" s="313"/>
      <c r="AU166" s="313"/>
      <c r="AV166" s="313"/>
      <c r="AX166" s="315">
        <f t="shared" si="116"/>
        <v>0</v>
      </c>
      <c r="AY166" s="315">
        <f t="shared" si="117"/>
        <v>0</v>
      </c>
      <c r="AZ166" s="313" t="s">
        <v>914</v>
      </c>
      <c r="BA166" s="313" t="s">
        <v>972</v>
      </c>
      <c r="BB166" s="313" t="s">
        <v>974</v>
      </c>
      <c r="BC166" s="313" t="s">
        <v>417</v>
      </c>
      <c r="BE166" s="313"/>
      <c r="BG166" s="313"/>
      <c r="BH166" s="313"/>
      <c r="BI166" s="313"/>
      <c r="BJ166" s="313"/>
      <c r="BK166" s="313"/>
      <c r="BL166" s="313"/>
      <c r="BM166" s="313"/>
      <c r="BN166" s="313"/>
      <c r="BO166" s="313"/>
      <c r="BP166" s="313"/>
    </row>
    <row r="167" spans="1:68">
      <c r="A167" s="313" t="s">
        <v>870</v>
      </c>
      <c r="B167" s="315">
        <f t="shared" si="104"/>
        <v>0</v>
      </c>
      <c r="C167" s="313" t="str">
        <f t="shared" si="105"/>
        <v>No Stats</v>
      </c>
      <c r="D167" s="313">
        <f t="shared" si="106"/>
        <v>0</v>
      </c>
      <c r="E167" s="315">
        <v>0</v>
      </c>
      <c r="F167" s="315">
        <v>0</v>
      </c>
      <c r="G167" s="315">
        <v>0</v>
      </c>
      <c r="H167" s="315">
        <v>0</v>
      </c>
      <c r="I167" s="315">
        <v>0</v>
      </c>
      <c r="J167" s="315">
        <v>0</v>
      </c>
      <c r="K167" s="315">
        <v>0</v>
      </c>
      <c r="L167" s="315">
        <v>0</v>
      </c>
      <c r="M167" s="315">
        <v>15</v>
      </c>
      <c r="N167" s="315">
        <v>0</v>
      </c>
      <c r="O167" s="315">
        <f t="shared" si="107"/>
        <v>0</v>
      </c>
      <c r="P167" s="315" t="e">
        <f t="shared" si="108"/>
        <v>#N/A</v>
      </c>
      <c r="Q167" s="315">
        <f t="shared" si="109"/>
        <v>0</v>
      </c>
      <c r="R167" s="315">
        <f t="shared" si="110"/>
        <v>0</v>
      </c>
      <c r="S167" s="315">
        <f t="shared" si="111"/>
        <v>0</v>
      </c>
      <c r="T167" s="315">
        <f t="shared" si="112"/>
        <v>0</v>
      </c>
      <c r="U167" s="315">
        <f t="shared" si="113"/>
        <v>0</v>
      </c>
      <c r="V167" s="315">
        <f t="shared" si="114"/>
        <v>0</v>
      </c>
      <c r="W167" s="313" t="s">
        <v>412</v>
      </c>
      <c r="X167" s="313"/>
      <c r="Y167" s="313"/>
      <c r="Z167" s="313"/>
      <c r="AA167" s="313"/>
      <c r="AB167" s="313"/>
      <c r="AC167" s="313"/>
      <c r="AD167" s="315" t="b">
        <f t="shared" si="103"/>
        <v>0</v>
      </c>
      <c r="AE167" s="315" t="b">
        <f t="shared" si="115"/>
        <v>0</v>
      </c>
      <c r="AF167" s="313"/>
      <c r="AG167" s="313"/>
      <c r="AH167" s="313"/>
      <c r="AI167" s="313"/>
      <c r="AJ167" s="313"/>
      <c r="AK167" s="313"/>
      <c r="AL167" s="313"/>
      <c r="AM167" s="313"/>
      <c r="AN167" s="313"/>
      <c r="AO167" s="313"/>
      <c r="AP167" s="313"/>
      <c r="AQ167" s="313"/>
      <c r="AR167" s="313"/>
      <c r="AS167" s="313"/>
      <c r="AT167" s="313"/>
      <c r="AU167" s="313"/>
      <c r="AV167" s="313"/>
      <c r="AX167" s="315">
        <f t="shared" si="116"/>
        <v>0</v>
      </c>
      <c r="AY167" s="315">
        <f t="shared" si="117"/>
        <v>0</v>
      </c>
      <c r="AZ167" s="313" t="s">
        <v>914</v>
      </c>
      <c r="BA167" s="313" t="s">
        <v>871</v>
      </c>
      <c r="BB167" s="313" t="s">
        <v>870</v>
      </c>
      <c r="BC167" s="313" t="s">
        <v>417</v>
      </c>
      <c r="BE167" s="313"/>
      <c r="BG167" s="313"/>
      <c r="BH167" s="313"/>
      <c r="BI167" s="313"/>
      <c r="BJ167" s="313"/>
      <c r="BK167" s="313"/>
      <c r="BL167" s="313"/>
      <c r="BM167" s="313"/>
      <c r="BN167" s="313"/>
      <c r="BO167" s="313"/>
      <c r="BP167" s="313"/>
    </row>
    <row r="168" spans="1:68">
      <c r="A168" s="313" t="s">
        <v>795</v>
      </c>
      <c r="B168" s="315" t="str">
        <f t="shared" si="104"/>
        <v>2D10</v>
      </c>
      <c r="C168" s="313" t="str">
        <f t="shared" si="105"/>
        <v>Herbivore</v>
      </c>
      <c r="D168" s="313" t="str">
        <f t="shared" si="106"/>
        <v>Non-threatening</v>
      </c>
      <c r="E168" s="315">
        <v>0</v>
      </c>
      <c r="F168" s="315">
        <v>0</v>
      </c>
      <c r="G168" s="315">
        <v>0</v>
      </c>
      <c r="H168" s="315">
        <v>0</v>
      </c>
      <c r="I168" s="315">
        <v>0</v>
      </c>
      <c r="J168" s="315">
        <v>0</v>
      </c>
      <c r="K168" s="315">
        <v>0</v>
      </c>
      <c r="L168" s="315">
        <v>0</v>
      </c>
      <c r="M168" s="315">
        <v>15</v>
      </c>
      <c r="N168" s="315">
        <v>0</v>
      </c>
      <c r="O168" s="315">
        <f t="shared" si="107"/>
        <v>2</v>
      </c>
      <c r="P168" s="315">
        <f t="shared" si="108"/>
        <v>-9</v>
      </c>
      <c r="Q168" s="315" t="str">
        <f t="shared" si="109"/>
        <v>Light Hide</v>
      </c>
      <c r="R168" s="315" t="str">
        <f t="shared" si="110"/>
        <v>Light Hide</v>
      </c>
      <c r="S168" s="315" t="str">
        <f t="shared" si="111"/>
        <v>Light Hide</v>
      </c>
      <c r="T168" s="315" t="str">
        <f t="shared" si="112"/>
        <v>Light Hide</v>
      </c>
      <c r="U168" s="315" t="str">
        <f t="shared" si="113"/>
        <v>Light Hide</v>
      </c>
      <c r="V168" s="315" t="str">
        <f t="shared" si="114"/>
        <v>Light Hide</v>
      </c>
      <c r="W168" s="313" t="s">
        <v>409</v>
      </c>
      <c r="X168" s="313" t="s">
        <v>398</v>
      </c>
      <c r="Y168" s="313"/>
      <c r="Z168" s="313"/>
      <c r="AA168" s="313"/>
      <c r="AB168" s="313"/>
      <c r="AC168" s="313"/>
      <c r="AD168" s="315">
        <f t="shared" si="103"/>
        <v>5</v>
      </c>
      <c r="AE168" s="315">
        <f t="shared" si="115"/>
        <v>5</v>
      </c>
      <c r="AF168" s="313"/>
      <c r="AG168" s="313"/>
      <c r="AH168" s="313"/>
      <c r="AI168" s="313"/>
      <c r="AJ168" s="313"/>
      <c r="AK168" s="313"/>
      <c r="AL168" s="313"/>
      <c r="AM168" s="313"/>
      <c r="AN168" s="313"/>
      <c r="AO168" s="313"/>
      <c r="AP168" s="313"/>
      <c r="AQ168" s="313"/>
      <c r="AR168" s="313"/>
      <c r="AS168" s="313"/>
      <c r="AT168" s="313"/>
      <c r="AU168" s="313"/>
      <c r="AV168" s="313"/>
      <c r="AX168" s="315">
        <f t="shared" si="116"/>
        <v>30</v>
      </c>
      <c r="AY168" s="315">
        <f t="shared" si="117"/>
        <v>0</v>
      </c>
      <c r="AZ168" s="313" t="s">
        <v>914</v>
      </c>
      <c r="BA168" s="313" t="s">
        <v>794</v>
      </c>
      <c r="BB168" s="313" t="s">
        <v>795</v>
      </c>
      <c r="BC168" s="313" t="s">
        <v>393</v>
      </c>
      <c r="BD168" s="315" t="s">
        <v>394</v>
      </c>
      <c r="BE168" s="313" t="s">
        <v>395</v>
      </c>
      <c r="BF168" s="315">
        <v>2</v>
      </c>
      <c r="BG168" s="313" t="s">
        <v>396</v>
      </c>
      <c r="BH168" s="313">
        <v>2</v>
      </c>
      <c r="BI168" s="313">
        <v>30</v>
      </c>
      <c r="BJ168" s="313" t="s">
        <v>397</v>
      </c>
      <c r="BK168" s="313">
        <v>-6</v>
      </c>
      <c r="BL168" s="313">
        <v>1</v>
      </c>
      <c r="BM168" s="313">
        <v>1</v>
      </c>
      <c r="BN168" s="313">
        <v>0</v>
      </c>
      <c r="BO168" s="313">
        <v>0</v>
      </c>
      <c r="BP168" s="313"/>
    </row>
    <row r="169" spans="1:68">
      <c r="A169" s="313" t="s">
        <v>670</v>
      </c>
      <c r="B169" s="315" t="str">
        <f t="shared" si="104"/>
        <v>1D10</v>
      </c>
      <c r="C169" s="313" t="str">
        <f t="shared" si="105"/>
        <v>Carnivore</v>
      </c>
      <c r="D169" s="313" t="str">
        <f t="shared" si="106"/>
        <v>Ferocious</v>
      </c>
      <c r="E169" s="315">
        <v>0</v>
      </c>
      <c r="F169" s="315">
        <v>0</v>
      </c>
      <c r="G169" s="315">
        <v>0</v>
      </c>
      <c r="H169" s="315">
        <v>0</v>
      </c>
      <c r="I169" s="315">
        <v>0</v>
      </c>
      <c r="J169" s="315">
        <v>0</v>
      </c>
      <c r="K169" s="315">
        <v>0</v>
      </c>
      <c r="L169" s="315">
        <v>0</v>
      </c>
      <c r="M169" s="315">
        <v>15</v>
      </c>
      <c r="N169" s="315">
        <v>0</v>
      </c>
      <c r="O169" s="315">
        <f t="shared" si="107"/>
        <v>10</v>
      </c>
      <c r="P169" s="315">
        <f t="shared" si="108"/>
        <v>-9</v>
      </c>
      <c r="Q169" s="315" t="str">
        <f t="shared" si="109"/>
        <v>Fur/Feathers</v>
      </c>
      <c r="R169" s="315" t="str">
        <f t="shared" si="110"/>
        <v>Fur/Feathers</v>
      </c>
      <c r="S169" s="315" t="str">
        <f t="shared" si="111"/>
        <v>Fur/Feathers</v>
      </c>
      <c r="T169" s="315" t="str">
        <f t="shared" si="112"/>
        <v>Fur/Feathers</v>
      </c>
      <c r="U169" s="315" t="str">
        <f t="shared" si="113"/>
        <v>Fur/Feathers</v>
      </c>
      <c r="V169" s="315" t="str">
        <f t="shared" si="114"/>
        <v>Fur/Feathers</v>
      </c>
      <c r="W169" s="313" t="s">
        <v>410</v>
      </c>
      <c r="X169" s="313" t="s">
        <v>398</v>
      </c>
      <c r="Y169" s="313" t="s">
        <v>404</v>
      </c>
      <c r="Z169" s="313" t="s">
        <v>404</v>
      </c>
      <c r="AA169" s="313"/>
      <c r="AB169" s="313"/>
      <c r="AC169" s="313"/>
      <c r="AD169" s="315">
        <f t="shared" si="103"/>
        <v>15</v>
      </c>
      <c r="AE169" s="315">
        <f t="shared" si="115"/>
        <v>15</v>
      </c>
      <c r="AF169" s="313"/>
      <c r="AG169" s="313"/>
      <c r="AH169" s="313"/>
      <c r="AI169" s="313"/>
      <c r="AJ169" s="313"/>
      <c r="AK169" s="313"/>
      <c r="AL169" s="313"/>
      <c r="AM169" s="313"/>
      <c r="AN169" s="313"/>
      <c r="AO169" s="313"/>
      <c r="AP169" s="313"/>
      <c r="AQ169" s="313"/>
      <c r="AR169" s="313"/>
      <c r="AS169" s="313"/>
      <c r="AT169" s="313"/>
      <c r="AU169" s="313"/>
      <c r="AV169" s="313"/>
      <c r="AX169" s="315">
        <f t="shared" si="116"/>
        <v>40</v>
      </c>
      <c r="AY169" s="315">
        <f t="shared" si="117"/>
        <v>0</v>
      </c>
      <c r="AZ169" s="313" t="s">
        <v>914</v>
      </c>
      <c r="BA169" s="313" t="s">
        <v>794</v>
      </c>
      <c r="BB169" s="313" t="s">
        <v>670</v>
      </c>
      <c r="BC169" s="313" t="s">
        <v>399</v>
      </c>
      <c r="BD169" s="315" t="s">
        <v>400</v>
      </c>
      <c r="BE169" s="313" t="s">
        <v>401</v>
      </c>
      <c r="BF169" s="315">
        <v>10</v>
      </c>
      <c r="BG169" s="313" t="s">
        <v>402</v>
      </c>
      <c r="BH169" s="313">
        <v>2</v>
      </c>
      <c r="BI169" s="313">
        <v>40</v>
      </c>
      <c r="BJ169" s="313" t="s">
        <v>403</v>
      </c>
      <c r="BK169" s="313">
        <v>-4</v>
      </c>
      <c r="BL169" s="313">
        <v>1</v>
      </c>
      <c r="BM169" s="313">
        <v>2</v>
      </c>
      <c r="BN169" s="313">
        <v>1</v>
      </c>
      <c r="BO169" s="313">
        <v>0</v>
      </c>
      <c r="BP169" s="313"/>
    </row>
    <row r="170" spans="1:68">
      <c r="A170" s="313" t="s">
        <v>2339</v>
      </c>
      <c r="B170" s="315" t="str">
        <f t="shared" si="104"/>
        <v>2D10</v>
      </c>
      <c r="C170" s="313" t="str">
        <f t="shared" si="105"/>
        <v>Omnivore</v>
      </c>
      <c r="D170" s="313" t="str">
        <f t="shared" si="106"/>
        <v>Non-threatening</v>
      </c>
      <c r="E170" s="315">
        <v>0</v>
      </c>
      <c r="F170" s="315">
        <v>0</v>
      </c>
      <c r="G170" s="315">
        <v>0</v>
      </c>
      <c r="H170" s="315">
        <v>0</v>
      </c>
      <c r="I170" s="315">
        <v>0</v>
      </c>
      <c r="J170" s="315">
        <v>0</v>
      </c>
      <c r="K170" s="315">
        <v>0</v>
      </c>
      <c r="L170" s="315">
        <v>0</v>
      </c>
      <c r="M170" s="315">
        <v>15</v>
      </c>
      <c r="N170" s="315">
        <v>0</v>
      </c>
      <c r="O170" s="315">
        <f t="shared" si="107"/>
        <v>4</v>
      </c>
      <c r="P170" s="315">
        <f t="shared" si="108"/>
        <v>2</v>
      </c>
      <c r="Q170" s="315" t="str">
        <f t="shared" si="109"/>
        <v>Light Hide</v>
      </c>
      <c r="R170" s="315" t="str">
        <f t="shared" si="110"/>
        <v>Light Hide</v>
      </c>
      <c r="S170" s="315" t="str">
        <f t="shared" si="111"/>
        <v>Light Hide</v>
      </c>
      <c r="T170" s="315" t="str">
        <f t="shared" si="112"/>
        <v>Light Hide</v>
      </c>
      <c r="U170" s="315" t="str">
        <f t="shared" si="113"/>
        <v>Light Hide</v>
      </c>
      <c r="V170" s="315" t="str">
        <f t="shared" si="114"/>
        <v>Light Hide</v>
      </c>
      <c r="W170" s="313" t="s">
        <v>407</v>
      </c>
      <c r="X170" s="313" t="s">
        <v>408</v>
      </c>
      <c r="Y170" s="313"/>
      <c r="Z170" s="313"/>
      <c r="AA170" s="313"/>
      <c r="AB170" s="313"/>
      <c r="AC170" s="313"/>
      <c r="AD170" s="315">
        <f t="shared" si="103"/>
        <v>10</v>
      </c>
      <c r="AE170" s="315">
        <f t="shared" si="115"/>
        <v>10</v>
      </c>
      <c r="AF170" s="313"/>
      <c r="AG170" s="313"/>
      <c r="AH170" s="313"/>
      <c r="AI170" s="313"/>
      <c r="AJ170" s="313"/>
      <c r="AK170" s="313"/>
      <c r="AL170" s="313"/>
      <c r="AM170" s="313"/>
      <c r="AN170" s="313"/>
      <c r="AO170" s="313"/>
      <c r="AP170" s="313"/>
      <c r="AQ170" s="313"/>
      <c r="AR170" s="313"/>
      <c r="AS170" s="313"/>
      <c r="AT170" s="313"/>
      <c r="AU170" s="313"/>
      <c r="AV170" s="313"/>
      <c r="AX170" s="315">
        <f t="shared" si="116"/>
        <v>90</v>
      </c>
      <c r="AY170" s="315">
        <f t="shared" si="117"/>
        <v>0</v>
      </c>
      <c r="AZ170" s="313" t="s">
        <v>914</v>
      </c>
      <c r="BA170" s="313" t="s">
        <v>2340</v>
      </c>
      <c r="BB170" s="313" t="s">
        <v>2339</v>
      </c>
      <c r="BC170" s="313" t="s">
        <v>405</v>
      </c>
      <c r="BD170" s="315" t="s">
        <v>394</v>
      </c>
      <c r="BE170" s="313" t="s">
        <v>395</v>
      </c>
      <c r="BF170" s="315">
        <v>4</v>
      </c>
      <c r="BG170" s="313" t="s">
        <v>406</v>
      </c>
      <c r="BH170" s="313">
        <v>300</v>
      </c>
      <c r="BI170" s="313">
        <v>90</v>
      </c>
      <c r="BJ170" s="313" t="s">
        <v>397</v>
      </c>
      <c r="BK170" s="313">
        <v>0</v>
      </c>
      <c r="BL170" s="313">
        <v>10</v>
      </c>
      <c r="BM170" s="313">
        <v>20</v>
      </c>
      <c r="BN170" s="313">
        <v>3</v>
      </c>
      <c r="BO170" s="313">
        <v>0</v>
      </c>
      <c r="BP170" s="313"/>
    </row>
    <row r="171" spans="1:68">
      <c r="A171" s="313" t="s">
        <v>2341</v>
      </c>
      <c r="B171" s="315" t="str">
        <f t="shared" si="104"/>
        <v>3D6</v>
      </c>
      <c r="C171" s="313" t="str">
        <f t="shared" si="105"/>
        <v>Herbivore</v>
      </c>
      <c r="D171" s="313" t="str">
        <f t="shared" si="106"/>
        <v>Non-threatening</v>
      </c>
      <c r="E171" s="315">
        <v>0</v>
      </c>
      <c r="F171" s="315">
        <v>0</v>
      </c>
      <c r="G171" s="315">
        <v>0</v>
      </c>
      <c r="H171" s="315">
        <v>0</v>
      </c>
      <c r="I171" s="315">
        <v>0</v>
      </c>
      <c r="J171" s="315">
        <v>0</v>
      </c>
      <c r="K171" s="315">
        <v>0</v>
      </c>
      <c r="L171" s="315">
        <v>0</v>
      </c>
      <c r="M171" s="315">
        <v>15</v>
      </c>
      <c r="N171" s="315">
        <v>0</v>
      </c>
      <c r="O171" s="315">
        <f t="shared" si="107"/>
        <v>2</v>
      </c>
      <c r="P171" s="315">
        <f t="shared" si="108"/>
        <v>4</v>
      </c>
      <c r="Q171" s="315" t="str">
        <f t="shared" si="109"/>
        <v>Heavy Hide</v>
      </c>
      <c r="R171" s="315" t="str">
        <f t="shared" si="110"/>
        <v>Heavy Hide</v>
      </c>
      <c r="S171" s="315" t="str">
        <f t="shared" si="111"/>
        <v>Heavy Hide</v>
      </c>
      <c r="T171" s="315" t="str">
        <f t="shared" si="112"/>
        <v>Heavy Hide</v>
      </c>
      <c r="U171" s="315" t="str">
        <f t="shared" si="113"/>
        <v>Heavy Hide</v>
      </c>
      <c r="V171" s="315" t="str">
        <f t="shared" si="114"/>
        <v>Heavy Hide</v>
      </c>
      <c r="W171" s="313" t="s">
        <v>385</v>
      </c>
      <c r="X171" s="313" t="s">
        <v>386</v>
      </c>
      <c r="Y171" s="313"/>
      <c r="Z171" s="313"/>
      <c r="AA171" s="313"/>
      <c r="AB171" s="313"/>
      <c r="AC171" s="313"/>
      <c r="AD171" s="315">
        <f t="shared" si="103"/>
        <v>15</v>
      </c>
      <c r="AE171" s="315">
        <f t="shared" si="115"/>
        <v>15</v>
      </c>
      <c r="AF171" s="313"/>
      <c r="AG171" s="313"/>
      <c r="AH171" s="313"/>
      <c r="AI171" s="313"/>
      <c r="AJ171" s="313"/>
      <c r="AK171" s="313"/>
      <c r="AL171" s="313"/>
      <c r="AM171" s="313"/>
      <c r="AN171" s="313"/>
      <c r="AO171" s="313"/>
      <c r="AP171" s="313"/>
      <c r="AQ171" s="313"/>
      <c r="AR171" s="313"/>
      <c r="AS171" s="313"/>
      <c r="AT171" s="313"/>
      <c r="AU171" s="313"/>
      <c r="AV171" s="313"/>
      <c r="AX171" s="315">
        <f t="shared" si="116"/>
        <v>70</v>
      </c>
      <c r="AY171" s="315">
        <f t="shared" si="117"/>
        <v>0</v>
      </c>
      <c r="AZ171" s="313" t="s">
        <v>914</v>
      </c>
      <c r="BA171" s="313" t="s">
        <v>2340</v>
      </c>
      <c r="BB171" s="313" t="s">
        <v>2341</v>
      </c>
      <c r="BC171" s="313" t="s">
        <v>387</v>
      </c>
      <c r="BD171" s="315" t="s">
        <v>388</v>
      </c>
      <c r="BE171" s="313" t="s">
        <v>395</v>
      </c>
      <c r="BF171" s="315">
        <v>2</v>
      </c>
      <c r="BG171" s="313" t="s">
        <v>402</v>
      </c>
      <c r="BH171" s="313">
        <v>3000</v>
      </c>
      <c r="BI171" s="313">
        <v>70</v>
      </c>
      <c r="BJ171" s="313" t="s">
        <v>389</v>
      </c>
      <c r="BK171" s="313">
        <v>-4</v>
      </c>
      <c r="BL171" s="313">
        <v>14</v>
      </c>
      <c r="BM171" s="313">
        <v>24</v>
      </c>
      <c r="BN171" s="313">
        <v>10</v>
      </c>
      <c r="BO171" s="313">
        <v>3</v>
      </c>
      <c r="BP171" s="313"/>
    </row>
    <row r="172" spans="1:68">
      <c r="A172" s="313" t="s">
        <v>2235</v>
      </c>
      <c r="B172" s="315" t="str">
        <f t="shared" si="104"/>
        <v>2D6</v>
      </c>
      <c r="C172" s="313" t="str">
        <f t="shared" si="105"/>
        <v>Carnivore</v>
      </c>
      <c r="D172" s="313" t="str">
        <f t="shared" si="106"/>
        <v>Dangerous</v>
      </c>
      <c r="E172" s="315">
        <v>0</v>
      </c>
      <c r="F172" s="315">
        <v>0</v>
      </c>
      <c r="G172" s="315">
        <v>0</v>
      </c>
      <c r="H172" s="315">
        <v>0</v>
      </c>
      <c r="I172" s="315">
        <v>0</v>
      </c>
      <c r="J172" s="315">
        <v>0</v>
      </c>
      <c r="K172" s="315">
        <v>0</v>
      </c>
      <c r="L172" s="315">
        <v>0</v>
      </c>
      <c r="M172" s="315">
        <v>15</v>
      </c>
      <c r="N172" s="315">
        <v>0</v>
      </c>
      <c r="O172" s="315">
        <f t="shared" si="107"/>
        <v>6</v>
      </c>
      <c r="P172" s="315">
        <f t="shared" si="108"/>
        <v>0</v>
      </c>
      <c r="Q172" s="315" t="str">
        <f t="shared" si="109"/>
        <v>Fur/Feathers</v>
      </c>
      <c r="R172" s="315" t="str">
        <f t="shared" si="110"/>
        <v>Fur/Feathers</v>
      </c>
      <c r="S172" s="315" t="str">
        <f t="shared" si="111"/>
        <v>Fur/Feathers</v>
      </c>
      <c r="T172" s="315" t="str">
        <f t="shared" si="112"/>
        <v>Fur/Feathers</v>
      </c>
      <c r="U172" s="315" t="str">
        <f t="shared" si="113"/>
        <v>Fur/Feathers</v>
      </c>
      <c r="V172" s="315" t="str">
        <f t="shared" si="114"/>
        <v>Fur/Feathers</v>
      </c>
      <c r="W172" s="313" t="s">
        <v>384</v>
      </c>
      <c r="X172" s="313" t="s">
        <v>404</v>
      </c>
      <c r="Y172" s="313" t="s">
        <v>404</v>
      </c>
      <c r="Z172" s="313" t="s">
        <v>398</v>
      </c>
      <c r="AA172" s="313"/>
      <c r="AB172" s="313"/>
      <c r="AC172" s="313"/>
      <c r="AD172" s="315">
        <f t="shared" si="103"/>
        <v>10</v>
      </c>
      <c r="AE172" s="315">
        <f t="shared" si="115"/>
        <v>10</v>
      </c>
      <c r="AF172" s="313"/>
      <c r="AG172" s="313"/>
      <c r="AH172" s="313"/>
      <c r="AI172" s="313"/>
      <c r="AJ172" s="313"/>
      <c r="AK172" s="313"/>
      <c r="AL172" s="313"/>
      <c r="AM172" s="313"/>
      <c r="AN172" s="313"/>
      <c r="AO172" s="313"/>
      <c r="AP172" s="313"/>
      <c r="AQ172" s="313"/>
      <c r="AR172" s="313"/>
      <c r="AS172" s="313"/>
      <c r="AT172" s="313"/>
      <c r="AU172" s="313"/>
      <c r="AV172" s="313"/>
      <c r="AX172" s="315">
        <f t="shared" si="116"/>
        <v>95</v>
      </c>
      <c r="AY172" s="315">
        <f t="shared" si="117"/>
        <v>0</v>
      </c>
      <c r="AZ172" s="313" t="s">
        <v>914</v>
      </c>
      <c r="BA172" s="313" t="s">
        <v>2236</v>
      </c>
      <c r="BB172" s="313" t="s">
        <v>2235</v>
      </c>
      <c r="BC172" s="313" t="s">
        <v>399</v>
      </c>
      <c r="BD172" s="315" t="s">
        <v>390</v>
      </c>
      <c r="BE172" s="313" t="s">
        <v>391</v>
      </c>
      <c r="BF172" s="315">
        <v>6</v>
      </c>
      <c r="BG172" s="313" t="s">
        <v>406</v>
      </c>
      <c r="BH172" s="313">
        <v>80</v>
      </c>
      <c r="BI172" s="313">
        <v>95</v>
      </c>
      <c r="BJ172" s="313" t="s">
        <v>403</v>
      </c>
      <c r="BK172" s="313">
        <v>0</v>
      </c>
      <c r="BL172" s="313">
        <v>5</v>
      </c>
      <c r="BM172" s="313">
        <v>10</v>
      </c>
      <c r="BN172" s="313">
        <v>4</v>
      </c>
      <c r="BO172" s="313">
        <v>0</v>
      </c>
      <c r="BP172" s="313"/>
    </row>
    <row r="173" spans="1:68">
      <c r="A173" s="313" t="s">
        <v>2237</v>
      </c>
      <c r="B173" s="315">
        <f t="shared" si="104"/>
        <v>2</v>
      </c>
      <c r="C173" s="313" t="str">
        <f t="shared" si="105"/>
        <v>Carnivore</v>
      </c>
      <c r="D173" s="313" t="str">
        <f t="shared" si="106"/>
        <v>Dangerous</v>
      </c>
      <c r="E173" s="315">
        <v>0</v>
      </c>
      <c r="F173" s="315">
        <v>0</v>
      </c>
      <c r="G173" s="315">
        <v>0</v>
      </c>
      <c r="H173" s="315">
        <v>0</v>
      </c>
      <c r="I173" s="315">
        <v>0</v>
      </c>
      <c r="J173" s="315">
        <v>0</v>
      </c>
      <c r="K173" s="315">
        <v>0</v>
      </c>
      <c r="L173" s="315">
        <v>0</v>
      </c>
      <c r="M173" s="315">
        <v>15</v>
      </c>
      <c r="N173" s="315">
        <v>0</v>
      </c>
      <c r="O173" s="315">
        <f t="shared" si="107"/>
        <v>7</v>
      </c>
      <c r="P173" s="315">
        <f t="shared" si="108"/>
        <v>-3</v>
      </c>
      <c r="Q173" s="315" t="str">
        <f t="shared" si="109"/>
        <v>Fur/Feathers</v>
      </c>
      <c r="R173" s="315" t="str">
        <f t="shared" si="110"/>
        <v>Fur/Feathers</v>
      </c>
      <c r="S173" s="315" t="str">
        <f t="shared" si="111"/>
        <v>Fur/Feathers</v>
      </c>
      <c r="T173" s="315" t="str">
        <f t="shared" si="112"/>
        <v>Fur/Feathers</v>
      </c>
      <c r="U173" s="315" t="str">
        <f t="shared" si="113"/>
        <v>Fur/Feathers</v>
      </c>
      <c r="V173" s="315" t="str">
        <f t="shared" si="114"/>
        <v>Fur/Feathers</v>
      </c>
      <c r="W173" s="313" t="s">
        <v>383</v>
      </c>
      <c r="X173" s="313" t="s">
        <v>404</v>
      </c>
      <c r="Y173" s="313" t="s">
        <v>404</v>
      </c>
      <c r="Z173" s="313" t="s">
        <v>398</v>
      </c>
      <c r="AA173" s="313"/>
      <c r="AB173" s="313"/>
      <c r="AC173" s="313"/>
      <c r="AD173" s="315">
        <f t="shared" si="103"/>
        <v>10</v>
      </c>
      <c r="AE173" s="315">
        <f t="shared" si="115"/>
        <v>10</v>
      </c>
      <c r="AF173" s="313"/>
      <c r="AG173" s="313"/>
      <c r="AH173" s="313"/>
      <c r="AI173" s="313"/>
      <c r="AJ173" s="313"/>
      <c r="AK173" s="313"/>
      <c r="AL173" s="313"/>
      <c r="AM173" s="313"/>
      <c r="AN173" s="313"/>
      <c r="AO173" s="313"/>
      <c r="AP173" s="313"/>
      <c r="AQ173" s="313"/>
      <c r="AR173" s="313"/>
      <c r="AS173" s="313"/>
      <c r="AT173" s="313"/>
      <c r="AU173" s="313"/>
      <c r="AV173" s="313"/>
      <c r="AX173" s="315">
        <f t="shared" si="116"/>
        <v>75</v>
      </c>
      <c r="AY173" s="315">
        <f t="shared" si="117"/>
        <v>0</v>
      </c>
      <c r="AZ173" s="313" t="s">
        <v>914</v>
      </c>
      <c r="BA173" s="313" t="s">
        <v>2236</v>
      </c>
      <c r="BB173" s="313" t="s">
        <v>2237</v>
      </c>
      <c r="BC173" s="313" t="s">
        <v>399</v>
      </c>
      <c r="BD173" s="315">
        <v>2</v>
      </c>
      <c r="BE173" s="313" t="s">
        <v>391</v>
      </c>
      <c r="BF173" s="315">
        <v>7</v>
      </c>
      <c r="BG173" s="313" t="s">
        <v>392</v>
      </c>
      <c r="BH173" s="313">
        <v>65</v>
      </c>
      <c r="BI173" s="313">
        <v>75</v>
      </c>
      <c r="BJ173" s="313" t="s">
        <v>403</v>
      </c>
      <c r="BK173" s="313">
        <v>0</v>
      </c>
      <c r="BL173" s="313">
        <v>6</v>
      </c>
      <c r="BM173" s="313">
        <v>10</v>
      </c>
      <c r="BN173" s="313">
        <v>6</v>
      </c>
      <c r="BO173" s="313">
        <v>0</v>
      </c>
      <c r="BP173" s="313"/>
    </row>
    <row r="174" spans="1:68">
      <c r="A174" s="313" t="s">
        <v>2238</v>
      </c>
      <c r="B174" s="315">
        <f t="shared" si="104"/>
        <v>1</v>
      </c>
      <c r="C174" s="313" t="str">
        <f t="shared" si="105"/>
        <v>Carnivore</v>
      </c>
      <c r="D174" s="313" t="str">
        <f t="shared" si="106"/>
        <v>Ferocious</v>
      </c>
      <c r="E174" s="315">
        <v>0</v>
      </c>
      <c r="F174" s="315">
        <v>0</v>
      </c>
      <c r="G174" s="315">
        <v>0</v>
      </c>
      <c r="H174" s="315">
        <v>0</v>
      </c>
      <c r="I174" s="315">
        <v>0</v>
      </c>
      <c r="J174" s="315">
        <v>0</v>
      </c>
      <c r="K174" s="315">
        <v>0</v>
      </c>
      <c r="L174" s="315">
        <v>0</v>
      </c>
      <c r="M174" s="315">
        <v>15</v>
      </c>
      <c r="N174" s="315">
        <v>0</v>
      </c>
      <c r="O174" s="315">
        <f t="shared" si="107"/>
        <v>11</v>
      </c>
      <c r="P174" s="315">
        <f t="shared" si="108"/>
        <v>0</v>
      </c>
      <c r="Q174" s="315" t="str">
        <f t="shared" si="109"/>
        <v>Fur/Feathers</v>
      </c>
      <c r="R174" s="315" t="str">
        <f t="shared" si="110"/>
        <v>Fur/Feathers</v>
      </c>
      <c r="S174" s="315" t="str">
        <f t="shared" si="111"/>
        <v>Fur/Feathers</v>
      </c>
      <c r="T174" s="315" t="str">
        <f t="shared" si="112"/>
        <v>Fur/Feathers</v>
      </c>
      <c r="U174" s="315" t="str">
        <f t="shared" si="113"/>
        <v>Fur/Feathers</v>
      </c>
      <c r="V174" s="315" t="str">
        <f t="shared" si="114"/>
        <v>Fur/Feathers</v>
      </c>
      <c r="W174" s="313" t="s">
        <v>380</v>
      </c>
      <c r="X174" s="313" t="s">
        <v>404</v>
      </c>
      <c r="Y174" s="313" t="s">
        <v>404</v>
      </c>
      <c r="Z174" s="313" t="s">
        <v>398</v>
      </c>
      <c r="AA174" s="313"/>
      <c r="AB174" s="313"/>
      <c r="AC174" s="313"/>
      <c r="AD174" s="315">
        <f t="shared" si="103"/>
        <v>15</v>
      </c>
      <c r="AE174" s="315">
        <f t="shared" si="115"/>
        <v>15</v>
      </c>
      <c r="AF174" s="313"/>
      <c r="AG174" s="313"/>
      <c r="AH174" s="313" t="s">
        <v>377</v>
      </c>
      <c r="AI174" s="313"/>
      <c r="AJ174" s="313"/>
      <c r="AK174" s="313"/>
      <c r="AL174" s="313"/>
      <c r="AM174" s="313"/>
      <c r="AN174" s="313"/>
      <c r="AO174" s="313"/>
      <c r="AP174" s="313"/>
      <c r="AQ174" s="313"/>
      <c r="AR174" s="313"/>
      <c r="AS174" s="313"/>
      <c r="AT174" s="313"/>
      <c r="AU174" s="313"/>
      <c r="AV174" s="313"/>
      <c r="AX174" s="315">
        <f t="shared" si="116"/>
        <v>85</v>
      </c>
      <c r="AY174" s="315">
        <f t="shared" si="117"/>
        <v>0</v>
      </c>
      <c r="AZ174" s="313" t="s">
        <v>914</v>
      </c>
      <c r="BA174" s="313" t="s">
        <v>2239</v>
      </c>
      <c r="BB174" s="313" t="s">
        <v>2238</v>
      </c>
      <c r="BC174" s="313" t="s">
        <v>399</v>
      </c>
      <c r="BD174" s="315">
        <v>1</v>
      </c>
      <c r="BE174" s="313" t="s">
        <v>401</v>
      </c>
      <c r="BF174" s="315">
        <v>11</v>
      </c>
      <c r="BG174" s="313" t="s">
        <v>402</v>
      </c>
      <c r="BH174" s="313">
        <v>80</v>
      </c>
      <c r="BI174" s="313">
        <v>85</v>
      </c>
      <c r="BJ174" s="313" t="s">
        <v>403</v>
      </c>
      <c r="BK174" s="313">
        <v>0</v>
      </c>
      <c r="BL174" s="313">
        <v>6</v>
      </c>
      <c r="BM174" s="313">
        <v>12</v>
      </c>
      <c r="BN174" s="313">
        <v>8</v>
      </c>
      <c r="BO174" s="313">
        <v>-3</v>
      </c>
      <c r="BP174" s="313"/>
    </row>
    <row r="175" spans="1:68">
      <c r="A175" s="313" t="s">
        <v>2240</v>
      </c>
      <c r="B175" s="315">
        <f t="shared" si="104"/>
        <v>1</v>
      </c>
      <c r="C175" s="313" t="str">
        <f t="shared" si="105"/>
        <v>Carnivore</v>
      </c>
      <c r="D175" s="313" t="str">
        <f t="shared" si="106"/>
        <v>Aggressive</v>
      </c>
      <c r="E175" s="315">
        <v>0</v>
      </c>
      <c r="F175" s="315">
        <v>0</v>
      </c>
      <c r="G175" s="315">
        <v>0</v>
      </c>
      <c r="H175" s="315">
        <v>0</v>
      </c>
      <c r="I175" s="315">
        <v>0</v>
      </c>
      <c r="J175" s="315">
        <v>0</v>
      </c>
      <c r="K175" s="315">
        <v>0</v>
      </c>
      <c r="L175" s="315">
        <v>0</v>
      </c>
      <c r="M175" s="315">
        <v>15</v>
      </c>
      <c r="N175" s="315">
        <v>0</v>
      </c>
      <c r="O175" s="315">
        <f t="shared" si="107"/>
        <v>8</v>
      </c>
      <c r="P175" s="315">
        <f t="shared" si="108"/>
        <v>0</v>
      </c>
      <c r="Q175" s="315" t="str">
        <f t="shared" si="109"/>
        <v>Fur/Feathers</v>
      </c>
      <c r="R175" s="315" t="str">
        <f t="shared" si="110"/>
        <v>Fur/Feathers</v>
      </c>
      <c r="S175" s="315" t="str">
        <f t="shared" si="111"/>
        <v>Fur/Feathers</v>
      </c>
      <c r="T175" s="315" t="str">
        <f t="shared" si="112"/>
        <v>Fur/Feathers</v>
      </c>
      <c r="U175" s="315" t="str">
        <f t="shared" si="113"/>
        <v>Fur/Feathers</v>
      </c>
      <c r="V175" s="315" t="str">
        <f t="shared" si="114"/>
        <v>Fur/Feathers</v>
      </c>
      <c r="W175" s="313" t="s">
        <v>376</v>
      </c>
      <c r="X175" s="313" t="s">
        <v>404</v>
      </c>
      <c r="Y175" s="313" t="s">
        <v>404</v>
      </c>
      <c r="Z175" s="313" t="s">
        <v>398</v>
      </c>
      <c r="AA175" s="313"/>
      <c r="AB175" s="313"/>
      <c r="AC175" s="313"/>
      <c r="AD175" s="315">
        <f t="shared" si="103"/>
        <v>10</v>
      </c>
      <c r="AE175" s="315">
        <f t="shared" si="115"/>
        <v>10</v>
      </c>
      <c r="AF175" s="313"/>
      <c r="AG175" s="313"/>
      <c r="AH175" s="313"/>
      <c r="AI175" s="313"/>
      <c r="AJ175" s="313"/>
      <c r="AK175" s="313"/>
      <c r="AL175" s="313"/>
      <c r="AM175" s="313"/>
      <c r="AN175" s="313"/>
      <c r="AO175" s="313"/>
      <c r="AP175" s="313"/>
      <c r="AQ175" s="313"/>
      <c r="AR175" s="313"/>
      <c r="AS175" s="313"/>
      <c r="AT175" s="313"/>
      <c r="AU175" s="313"/>
      <c r="AV175" s="313"/>
      <c r="AX175" s="315">
        <f t="shared" si="116"/>
        <v>85</v>
      </c>
      <c r="AY175" s="315">
        <f t="shared" si="117"/>
        <v>0</v>
      </c>
      <c r="AZ175" s="313" t="s">
        <v>914</v>
      </c>
      <c r="BA175" s="313" t="s">
        <v>2239</v>
      </c>
      <c r="BB175" s="313" t="s">
        <v>2240</v>
      </c>
      <c r="BC175" s="313" t="s">
        <v>399</v>
      </c>
      <c r="BD175" s="315">
        <v>1</v>
      </c>
      <c r="BE175" s="313" t="s">
        <v>378</v>
      </c>
      <c r="BF175" s="315">
        <v>8</v>
      </c>
      <c r="BG175" s="313" t="s">
        <v>406</v>
      </c>
      <c r="BH175" s="313">
        <v>80</v>
      </c>
      <c r="BI175" s="313">
        <v>85</v>
      </c>
      <c r="BJ175" s="313" t="s">
        <v>403</v>
      </c>
      <c r="BK175" s="313">
        <v>0</v>
      </c>
      <c r="BL175" s="313">
        <v>5</v>
      </c>
      <c r="BM175" s="313">
        <v>10</v>
      </c>
      <c r="BN175" s="313">
        <v>5</v>
      </c>
      <c r="BO175" s="313">
        <v>-2</v>
      </c>
      <c r="BP175" s="313"/>
    </row>
    <row r="176" spans="1:68">
      <c r="A176" s="313" t="s">
        <v>2241</v>
      </c>
      <c r="B176" s="315">
        <f t="shared" si="104"/>
        <v>1</v>
      </c>
      <c r="C176" s="313" t="str">
        <f t="shared" si="105"/>
        <v>Carnivore</v>
      </c>
      <c r="D176" s="313" t="str">
        <f t="shared" si="106"/>
        <v>Aggressive</v>
      </c>
      <c r="E176" s="315">
        <v>0</v>
      </c>
      <c r="F176" s="315">
        <v>0</v>
      </c>
      <c r="G176" s="315">
        <v>0</v>
      </c>
      <c r="H176" s="315">
        <v>0</v>
      </c>
      <c r="I176" s="315">
        <v>0</v>
      </c>
      <c r="J176" s="315">
        <v>0</v>
      </c>
      <c r="K176" s="315">
        <v>0</v>
      </c>
      <c r="L176" s="315">
        <v>0</v>
      </c>
      <c r="M176" s="315">
        <v>15</v>
      </c>
      <c r="N176" s="315">
        <v>0</v>
      </c>
      <c r="O176" s="315">
        <f t="shared" si="107"/>
        <v>6</v>
      </c>
      <c r="P176" s="315">
        <f t="shared" si="108"/>
        <v>-5</v>
      </c>
      <c r="Q176" s="315" t="str">
        <f t="shared" si="109"/>
        <v>Fur/Feathers</v>
      </c>
      <c r="R176" s="315" t="str">
        <f t="shared" si="110"/>
        <v>Fur/Feathers</v>
      </c>
      <c r="S176" s="315" t="str">
        <f t="shared" si="111"/>
        <v>Fur/Feathers</v>
      </c>
      <c r="T176" s="315" t="str">
        <f t="shared" si="112"/>
        <v>Fur/Feathers</v>
      </c>
      <c r="U176" s="315" t="str">
        <f t="shared" si="113"/>
        <v>Fur/Feathers</v>
      </c>
      <c r="V176" s="315" t="str">
        <f t="shared" si="114"/>
        <v>Fur/Feathers</v>
      </c>
      <c r="W176" s="313" t="s">
        <v>381</v>
      </c>
      <c r="X176" s="313" t="s">
        <v>404</v>
      </c>
      <c r="Y176" s="313" t="s">
        <v>404</v>
      </c>
      <c r="Z176" s="313" t="s">
        <v>398</v>
      </c>
      <c r="AA176" s="313"/>
      <c r="AB176" s="313"/>
      <c r="AC176" s="313"/>
      <c r="AD176" s="315">
        <f t="shared" si="103"/>
        <v>10</v>
      </c>
      <c r="AE176" s="315">
        <f t="shared" si="115"/>
        <v>10</v>
      </c>
      <c r="AF176" s="313"/>
      <c r="AG176" s="313"/>
      <c r="AH176" s="313"/>
      <c r="AI176" s="313"/>
      <c r="AJ176" s="313"/>
      <c r="AK176" s="313"/>
      <c r="AL176" s="313"/>
      <c r="AM176" s="313"/>
      <c r="AN176" s="313"/>
      <c r="AO176" s="313"/>
      <c r="AP176" s="313"/>
      <c r="AQ176" s="313"/>
      <c r="AR176" s="313"/>
      <c r="AS176" s="313"/>
      <c r="AT176" s="313"/>
      <c r="AU176" s="313"/>
      <c r="AV176" s="313"/>
      <c r="AX176" s="315">
        <f t="shared" si="116"/>
        <v>110</v>
      </c>
      <c r="AY176" s="315">
        <f t="shared" si="117"/>
        <v>0</v>
      </c>
      <c r="AZ176" s="313" t="s">
        <v>914</v>
      </c>
      <c r="BA176" s="313" t="s">
        <v>2242</v>
      </c>
      <c r="BB176" s="313" t="s">
        <v>2241</v>
      </c>
      <c r="BC176" s="313" t="s">
        <v>379</v>
      </c>
      <c r="BD176" s="315">
        <v>1</v>
      </c>
      <c r="BE176" s="313" t="s">
        <v>378</v>
      </c>
      <c r="BF176" s="315">
        <v>6</v>
      </c>
      <c r="BG176" s="313" t="s">
        <v>406</v>
      </c>
      <c r="BH176" s="313">
        <v>10</v>
      </c>
      <c r="BI176" s="313">
        <v>110</v>
      </c>
      <c r="BJ176" s="313" t="s">
        <v>403</v>
      </c>
      <c r="BK176" s="313">
        <v>-4</v>
      </c>
      <c r="BL176" s="313">
        <v>1</v>
      </c>
      <c r="BM176" s="313">
        <v>1</v>
      </c>
      <c r="BN176" s="313">
        <v>1</v>
      </c>
      <c r="BO176" s="313">
        <v>0</v>
      </c>
      <c r="BP176" s="313"/>
    </row>
    <row r="177" spans="1:68">
      <c r="A177" s="313" t="s">
        <v>2243</v>
      </c>
      <c r="B177" s="315" t="str">
        <f t="shared" si="104"/>
        <v>1D10</v>
      </c>
      <c r="C177" s="313" t="str">
        <f t="shared" si="105"/>
        <v>Carnivore</v>
      </c>
      <c r="D177" s="313" t="str">
        <f t="shared" si="106"/>
        <v>Aggressive</v>
      </c>
      <c r="E177" s="315">
        <v>0</v>
      </c>
      <c r="F177" s="315">
        <v>0</v>
      </c>
      <c r="G177" s="315">
        <v>0</v>
      </c>
      <c r="H177" s="315">
        <v>0</v>
      </c>
      <c r="I177" s="315">
        <v>0</v>
      </c>
      <c r="J177" s="315">
        <v>0</v>
      </c>
      <c r="K177" s="315">
        <v>0</v>
      </c>
      <c r="L177" s="315">
        <v>0</v>
      </c>
      <c r="M177" s="315">
        <v>15</v>
      </c>
      <c r="N177" s="315">
        <v>0</v>
      </c>
      <c r="O177" s="315">
        <f t="shared" si="107"/>
        <v>7</v>
      </c>
      <c r="P177" s="315">
        <f t="shared" si="108"/>
        <v>-3</v>
      </c>
      <c r="Q177" s="315" t="str">
        <f t="shared" si="109"/>
        <v>Light Hide</v>
      </c>
      <c r="R177" s="315" t="str">
        <f t="shared" si="110"/>
        <v>Light Hide</v>
      </c>
      <c r="S177" s="315" t="str">
        <f t="shared" si="111"/>
        <v>Light Hide</v>
      </c>
      <c r="T177" s="315" t="str">
        <f t="shared" si="112"/>
        <v>Light Hide</v>
      </c>
      <c r="U177" s="315" t="str">
        <f t="shared" si="113"/>
        <v>Light Hide</v>
      </c>
      <c r="V177" s="315" t="str">
        <f t="shared" si="114"/>
        <v>Light Hide</v>
      </c>
      <c r="W177" s="313" t="s">
        <v>375</v>
      </c>
      <c r="X177" s="313" t="s">
        <v>398</v>
      </c>
      <c r="Y177" s="313" t="s">
        <v>382</v>
      </c>
      <c r="Z177" s="313"/>
      <c r="AA177" s="313"/>
      <c r="AB177" s="313"/>
      <c r="AC177" s="313"/>
      <c r="AD177" s="315">
        <f t="shared" si="103"/>
        <v>10</v>
      </c>
      <c r="AE177" s="315">
        <f t="shared" si="115"/>
        <v>10</v>
      </c>
      <c r="AF177" s="313"/>
      <c r="AG177" s="313"/>
      <c r="AH177" s="313"/>
      <c r="AI177" s="313"/>
      <c r="AJ177" s="313"/>
      <c r="AK177" s="313"/>
      <c r="AL177" s="313"/>
      <c r="AM177" s="313"/>
      <c r="AN177" s="313"/>
      <c r="AO177" s="313"/>
      <c r="AP177" s="313"/>
      <c r="AQ177" s="313"/>
      <c r="AR177" s="313"/>
      <c r="AS177" s="313"/>
      <c r="AT177" s="313"/>
      <c r="AU177" s="313"/>
      <c r="AV177" s="313"/>
      <c r="AX177" s="315">
        <f t="shared" si="116"/>
        <v>100</v>
      </c>
      <c r="AY177" s="315">
        <f t="shared" si="117"/>
        <v>0</v>
      </c>
      <c r="AZ177" s="313" t="s">
        <v>914</v>
      </c>
      <c r="BA177" s="313" t="s">
        <v>2242</v>
      </c>
      <c r="BB177" s="313" t="s">
        <v>2243</v>
      </c>
      <c r="BC177" s="313" t="s">
        <v>399</v>
      </c>
      <c r="BD177" s="315" t="s">
        <v>400</v>
      </c>
      <c r="BE177" s="313" t="s">
        <v>378</v>
      </c>
      <c r="BF177" s="315">
        <v>7</v>
      </c>
      <c r="BG177" s="313" t="s">
        <v>406</v>
      </c>
      <c r="BH177" s="313">
        <v>60</v>
      </c>
      <c r="BI177" s="313">
        <v>100</v>
      </c>
      <c r="BJ177" s="313" t="s">
        <v>397</v>
      </c>
      <c r="BK177" s="313">
        <v>-1</v>
      </c>
      <c r="BL177" s="313">
        <v>3</v>
      </c>
      <c r="BM177" s="313">
        <v>6</v>
      </c>
      <c r="BN177" s="313">
        <v>2</v>
      </c>
      <c r="BO177" s="313">
        <v>-1</v>
      </c>
      <c r="BP177" s="313"/>
    </row>
    <row r="178" spans="1:68">
      <c r="A178" s="313" t="s">
        <v>2244</v>
      </c>
      <c r="B178" s="315" t="str">
        <f t="shared" ref="B178:B198" si="133">BD178</f>
        <v>2D10</v>
      </c>
      <c r="C178" s="313" t="str">
        <f t="shared" ref="C178:C198" si="134">BC178</f>
        <v>Herbivore</v>
      </c>
      <c r="D178" s="313" t="str">
        <f t="shared" ref="D178:D198" si="135">BE178</f>
        <v>Non-threatening</v>
      </c>
      <c r="E178" s="315">
        <v>0</v>
      </c>
      <c r="F178" s="315">
        <v>0</v>
      </c>
      <c r="G178" s="315">
        <v>0</v>
      </c>
      <c r="H178" s="315">
        <v>0</v>
      </c>
      <c r="I178" s="315">
        <v>0</v>
      </c>
      <c r="J178" s="315">
        <v>0</v>
      </c>
      <c r="K178" s="315">
        <v>0</v>
      </c>
      <c r="L178" s="315">
        <v>0</v>
      </c>
      <c r="M178" s="315">
        <v>15</v>
      </c>
      <c r="N178" s="315">
        <v>0</v>
      </c>
      <c r="O178" s="315">
        <f t="shared" ref="O178:O198" si="136">BF178</f>
        <v>2</v>
      </c>
      <c r="P178" s="315">
        <f t="shared" ref="P178:P198" si="137">LOOKUP(BH178,$BU$54:$BU$71,$BS$54:$BS$71)</f>
        <v>1</v>
      </c>
      <c r="Q178" s="315" t="str">
        <f t="shared" ref="Q178:Q198" si="138">BJ178</f>
        <v>Light Hide</v>
      </c>
      <c r="R178" s="315" t="str">
        <f t="shared" ref="R178:R198" si="139">Q178</f>
        <v>Light Hide</v>
      </c>
      <c r="S178" s="315" t="str">
        <f t="shared" ref="S178:S198" si="140">Q178</f>
        <v>Light Hide</v>
      </c>
      <c r="T178" s="315" t="str">
        <f t="shared" ref="T178:T198" si="141">Q178</f>
        <v>Light Hide</v>
      </c>
      <c r="U178" s="315" t="str">
        <f t="shared" ref="U178:U198" si="142">Q178</f>
        <v>Light Hide</v>
      </c>
      <c r="V178" s="315" t="str">
        <f t="shared" ref="V178:V198" si="143">Q178</f>
        <v>Light Hide</v>
      </c>
      <c r="W178" s="313" t="s">
        <v>372</v>
      </c>
      <c r="X178" s="313" t="s">
        <v>408</v>
      </c>
      <c r="Y178" s="313"/>
      <c r="Z178" s="313"/>
      <c r="AA178" s="313"/>
      <c r="AB178" s="313"/>
      <c r="AC178" s="313"/>
      <c r="AD178" s="315">
        <f t="shared" si="103"/>
        <v>10</v>
      </c>
      <c r="AE178" s="315">
        <f t="shared" ref="AE178:AE198" si="144">AD178</f>
        <v>10</v>
      </c>
      <c r="AF178" s="313"/>
      <c r="AG178" s="313"/>
      <c r="AH178" s="313"/>
      <c r="AI178" s="313"/>
      <c r="AJ178" s="313"/>
      <c r="AK178" s="313"/>
      <c r="AL178" s="313"/>
      <c r="AM178" s="313"/>
      <c r="AN178" s="313"/>
      <c r="AO178" s="313"/>
      <c r="AP178" s="313"/>
      <c r="AQ178" s="313"/>
      <c r="AR178" s="313"/>
      <c r="AS178" s="313"/>
      <c r="AT178" s="313"/>
      <c r="AU178" s="313"/>
      <c r="AV178" s="313"/>
      <c r="AX178" s="315">
        <f t="shared" ref="AX178:AX198" si="145">BI178</f>
        <v>70</v>
      </c>
      <c r="AY178" s="315">
        <f t="shared" ref="AY178:AY198" si="146">BP178</f>
        <v>0</v>
      </c>
      <c r="AZ178" s="313" t="s">
        <v>914</v>
      </c>
      <c r="BA178" s="313" t="s">
        <v>2242</v>
      </c>
      <c r="BB178" s="313" t="s">
        <v>2244</v>
      </c>
      <c r="BC178" s="313" t="s">
        <v>393</v>
      </c>
      <c r="BD178" s="315" t="s">
        <v>394</v>
      </c>
      <c r="BE178" s="313" t="s">
        <v>395</v>
      </c>
      <c r="BF178" s="315">
        <v>2</v>
      </c>
      <c r="BG178" s="313" t="s">
        <v>406</v>
      </c>
      <c r="BH178" s="313">
        <v>100</v>
      </c>
      <c r="BI178" s="313">
        <v>70</v>
      </c>
      <c r="BJ178" s="313" t="s">
        <v>397</v>
      </c>
      <c r="BK178" s="313">
        <v>0</v>
      </c>
      <c r="BL178" s="313">
        <v>5</v>
      </c>
      <c r="BM178" s="313">
        <v>10</v>
      </c>
      <c r="BN178" s="313">
        <v>5</v>
      </c>
      <c r="BO178" s="313">
        <v>0</v>
      </c>
      <c r="BP178" s="313"/>
    </row>
    <row r="179" spans="1:68">
      <c r="A179" s="313" t="s">
        <v>2251</v>
      </c>
      <c r="B179" s="315">
        <f t="shared" si="133"/>
        <v>0</v>
      </c>
      <c r="C179" s="313" t="str">
        <f t="shared" si="134"/>
        <v>No Stats</v>
      </c>
      <c r="D179" s="313">
        <f t="shared" si="135"/>
        <v>0</v>
      </c>
      <c r="E179" s="315">
        <v>0</v>
      </c>
      <c r="F179" s="315">
        <v>0</v>
      </c>
      <c r="G179" s="315">
        <v>0</v>
      </c>
      <c r="H179" s="315">
        <v>0</v>
      </c>
      <c r="I179" s="315">
        <v>0</v>
      </c>
      <c r="J179" s="315">
        <v>0</v>
      </c>
      <c r="K179" s="315">
        <v>0</v>
      </c>
      <c r="L179" s="315">
        <v>0</v>
      </c>
      <c r="M179" s="315">
        <v>15</v>
      </c>
      <c r="N179" s="315">
        <v>0</v>
      </c>
      <c r="O179" s="315">
        <f t="shared" si="136"/>
        <v>0</v>
      </c>
      <c r="P179" s="315" t="e">
        <f t="shared" si="137"/>
        <v>#N/A</v>
      </c>
      <c r="Q179" s="315">
        <f t="shared" si="138"/>
        <v>0</v>
      </c>
      <c r="R179" s="315">
        <f t="shared" si="139"/>
        <v>0</v>
      </c>
      <c r="S179" s="315">
        <f t="shared" si="140"/>
        <v>0</v>
      </c>
      <c r="T179" s="315">
        <f t="shared" si="141"/>
        <v>0</v>
      </c>
      <c r="U179" s="315">
        <f t="shared" si="142"/>
        <v>0</v>
      </c>
      <c r="V179" s="315">
        <f t="shared" si="143"/>
        <v>0</v>
      </c>
      <c r="W179" s="313" t="s">
        <v>373</v>
      </c>
      <c r="X179" s="313"/>
      <c r="Y179" s="313"/>
      <c r="Z179" s="313"/>
      <c r="AA179" s="313"/>
      <c r="AB179" s="313"/>
      <c r="AC179" s="313"/>
      <c r="AD179" s="315" t="b">
        <f t="shared" si="103"/>
        <v>0</v>
      </c>
      <c r="AE179" s="315" t="b">
        <f t="shared" si="144"/>
        <v>0</v>
      </c>
      <c r="AF179" s="313"/>
      <c r="AG179" s="313"/>
      <c r="AH179" s="313"/>
      <c r="AI179" s="313"/>
      <c r="AJ179" s="313"/>
      <c r="AK179" s="313"/>
      <c r="AL179" s="313"/>
      <c r="AM179" s="313"/>
      <c r="AN179" s="313"/>
      <c r="AO179" s="313"/>
      <c r="AP179" s="313"/>
      <c r="AQ179" s="313"/>
      <c r="AR179" s="313"/>
      <c r="AS179" s="313"/>
      <c r="AT179" s="313"/>
      <c r="AU179" s="313"/>
      <c r="AV179" s="313"/>
      <c r="AX179" s="315">
        <f t="shared" si="145"/>
        <v>0</v>
      </c>
      <c r="AY179" s="315">
        <f t="shared" si="146"/>
        <v>0</v>
      </c>
      <c r="AZ179" s="313" t="s">
        <v>2245</v>
      </c>
      <c r="BA179" s="313" t="s">
        <v>2246</v>
      </c>
      <c r="BB179" s="313" t="s">
        <v>2251</v>
      </c>
      <c r="BC179" s="313" t="s">
        <v>417</v>
      </c>
      <c r="BE179" s="313"/>
      <c r="BG179" s="313"/>
      <c r="BH179" s="313"/>
      <c r="BI179" s="313"/>
      <c r="BJ179" s="313"/>
      <c r="BK179" s="313"/>
      <c r="BL179" s="313"/>
      <c r="BM179" s="313"/>
      <c r="BN179" s="313"/>
      <c r="BO179" s="313"/>
      <c r="BP179" s="313"/>
    </row>
    <row r="180" spans="1:68">
      <c r="A180" s="313" t="s">
        <v>728</v>
      </c>
      <c r="B180" s="315" t="str">
        <f t="shared" si="133"/>
        <v>1D10</v>
      </c>
      <c r="C180" s="313" t="str">
        <f t="shared" si="134"/>
        <v>Herbivore</v>
      </c>
      <c r="D180" s="313" t="str">
        <f t="shared" si="135"/>
        <v>Non-threatening</v>
      </c>
      <c r="E180" s="315">
        <v>0</v>
      </c>
      <c r="F180" s="315">
        <v>0</v>
      </c>
      <c r="G180" s="315">
        <v>0</v>
      </c>
      <c r="H180" s="315">
        <v>0</v>
      </c>
      <c r="I180" s="315">
        <v>0</v>
      </c>
      <c r="J180" s="315">
        <v>0</v>
      </c>
      <c r="K180" s="315">
        <v>0</v>
      </c>
      <c r="L180" s="315">
        <v>0</v>
      </c>
      <c r="M180" s="315">
        <v>15</v>
      </c>
      <c r="N180" s="315">
        <v>0</v>
      </c>
      <c r="O180" s="315">
        <f t="shared" si="136"/>
        <v>3</v>
      </c>
      <c r="P180" s="315">
        <f t="shared" si="137"/>
        <v>2</v>
      </c>
      <c r="Q180" s="315" t="str">
        <f t="shared" si="138"/>
        <v>Light Hide</v>
      </c>
      <c r="R180" s="315" t="str">
        <f t="shared" si="139"/>
        <v>Light Hide</v>
      </c>
      <c r="S180" s="315" t="str">
        <f t="shared" si="140"/>
        <v>Light Hide</v>
      </c>
      <c r="T180" s="315" t="str">
        <f t="shared" si="141"/>
        <v>Light Hide</v>
      </c>
      <c r="U180" s="315" t="str">
        <f t="shared" si="142"/>
        <v>Light Hide</v>
      </c>
      <c r="V180" s="315" t="str">
        <f t="shared" si="143"/>
        <v>Light Hide</v>
      </c>
      <c r="W180" s="313" t="s">
        <v>544</v>
      </c>
      <c r="X180" s="313" t="s">
        <v>543</v>
      </c>
      <c r="Y180" s="313" t="s">
        <v>545</v>
      </c>
      <c r="Z180" s="313"/>
      <c r="AA180" s="313"/>
      <c r="AB180" s="313"/>
      <c r="AC180" s="313"/>
      <c r="AD180" s="315">
        <f t="shared" si="103"/>
        <v>5</v>
      </c>
      <c r="AE180" s="315">
        <f t="shared" si="144"/>
        <v>5</v>
      </c>
      <c r="AF180" s="313"/>
      <c r="AG180" s="313"/>
      <c r="AH180" s="313"/>
      <c r="AI180" s="313"/>
      <c r="AJ180" s="313"/>
      <c r="AK180" s="313"/>
      <c r="AL180" s="313"/>
      <c r="AM180" s="313"/>
      <c r="AN180" s="313"/>
      <c r="AO180" s="313"/>
      <c r="AP180" s="313"/>
      <c r="AQ180" s="313"/>
      <c r="AR180" s="313"/>
      <c r="AS180" s="313"/>
      <c r="AT180" s="313"/>
      <c r="AU180" s="313"/>
      <c r="AV180" s="313"/>
      <c r="AX180" s="315">
        <f t="shared" si="145"/>
        <v>40</v>
      </c>
      <c r="AY180" s="315">
        <f t="shared" si="146"/>
        <v>0</v>
      </c>
      <c r="AZ180" s="313" t="s">
        <v>914</v>
      </c>
      <c r="BA180" s="313" t="s">
        <v>917</v>
      </c>
      <c r="BB180" s="313" t="s">
        <v>728</v>
      </c>
      <c r="BC180" s="313" t="s">
        <v>733</v>
      </c>
      <c r="BD180" s="315" t="s">
        <v>492</v>
      </c>
      <c r="BE180" s="313" t="s">
        <v>541</v>
      </c>
      <c r="BF180" s="315">
        <v>3</v>
      </c>
      <c r="BG180" s="313" t="s">
        <v>542</v>
      </c>
      <c r="BH180" s="313">
        <v>200</v>
      </c>
      <c r="BI180" s="313">
        <v>40</v>
      </c>
      <c r="BJ180" s="313" t="s">
        <v>735</v>
      </c>
      <c r="BK180" s="313">
        <v>14</v>
      </c>
      <c r="BL180" s="313">
        <v>6</v>
      </c>
      <c r="BM180" s="313">
        <v>6</v>
      </c>
      <c r="BN180" s="313">
        <v>4</v>
      </c>
      <c r="BO180" s="313">
        <v>-1</v>
      </c>
      <c r="BP180" s="313"/>
    </row>
    <row r="181" spans="1:68">
      <c r="A181" s="313" t="s">
        <v>918</v>
      </c>
      <c r="B181" s="315" t="str">
        <f t="shared" si="133"/>
        <v>100-1000</v>
      </c>
      <c r="C181" s="313" t="str">
        <f t="shared" si="134"/>
        <v>Carnivore</v>
      </c>
      <c r="D181" s="313" t="str">
        <f t="shared" si="135"/>
        <v>Aggressive</v>
      </c>
      <c r="E181" s="315">
        <v>0</v>
      </c>
      <c r="F181" s="315">
        <v>0</v>
      </c>
      <c r="G181" s="315">
        <v>0</v>
      </c>
      <c r="H181" s="315">
        <v>0</v>
      </c>
      <c r="I181" s="315">
        <v>0</v>
      </c>
      <c r="J181" s="315">
        <v>0</v>
      </c>
      <c r="K181" s="315">
        <v>0</v>
      </c>
      <c r="L181" s="315">
        <v>0</v>
      </c>
      <c r="M181" s="315">
        <v>15</v>
      </c>
      <c r="N181" s="315">
        <v>0</v>
      </c>
      <c r="O181" s="315">
        <f t="shared" si="136"/>
        <v>5</v>
      </c>
      <c r="P181" s="315">
        <f t="shared" si="137"/>
        <v>-3</v>
      </c>
      <c r="Q181" s="315" t="str">
        <f t="shared" si="138"/>
        <v>Skin</v>
      </c>
      <c r="R181" s="315" t="str">
        <f t="shared" si="139"/>
        <v>Skin</v>
      </c>
      <c r="S181" s="315" t="str">
        <f t="shared" si="140"/>
        <v>Skin</v>
      </c>
      <c r="T181" s="315" t="str">
        <f t="shared" si="141"/>
        <v>Skin</v>
      </c>
      <c r="U181" s="315" t="str">
        <f t="shared" si="142"/>
        <v>Skin</v>
      </c>
      <c r="V181" s="315" t="str">
        <f t="shared" si="143"/>
        <v>Skin</v>
      </c>
      <c r="W181" s="313" t="s">
        <v>422</v>
      </c>
      <c r="X181" s="313" t="s">
        <v>543</v>
      </c>
      <c r="Y181" s="313"/>
      <c r="Z181" s="313"/>
      <c r="AA181" s="313"/>
      <c r="AB181" s="313"/>
      <c r="AC181" s="313"/>
      <c r="AD181" s="315">
        <f t="shared" si="103"/>
        <v>15</v>
      </c>
      <c r="AE181" s="315">
        <f t="shared" si="144"/>
        <v>15</v>
      </c>
      <c r="AF181" s="313"/>
      <c r="AG181" s="313"/>
      <c r="AH181" s="313"/>
      <c r="AI181" s="313"/>
      <c r="AJ181" s="313"/>
      <c r="AK181" s="313"/>
      <c r="AL181" s="313"/>
      <c r="AM181" s="313"/>
      <c r="AN181" s="313"/>
      <c r="AO181" s="313"/>
      <c r="AP181" s="313"/>
      <c r="AQ181" s="313"/>
      <c r="AR181" s="313"/>
      <c r="AS181" s="313"/>
      <c r="AT181" s="313"/>
      <c r="AU181" s="313"/>
      <c r="AV181" s="313"/>
      <c r="AX181" s="315">
        <f t="shared" si="145"/>
        <v>40</v>
      </c>
      <c r="AY181" s="315">
        <f t="shared" si="146"/>
        <v>0</v>
      </c>
      <c r="AZ181" s="313" t="s">
        <v>914</v>
      </c>
      <c r="BA181" s="313" t="s">
        <v>917</v>
      </c>
      <c r="BB181" s="313" t="s">
        <v>918</v>
      </c>
      <c r="BC181" s="313" t="s">
        <v>737</v>
      </c>
      <c r="BD181" s="315" t="s">
        <v>421</v>
      </c>
      <c r="BE181" s="313" t="s">
        <v>739</v>
      </c>
      <c r="BF181" s="315">
        <v>5</v>
      </c>
      <c r="BG181" s="313" t="s">
        <v>741</v>
      </c>
      <c r="BH181" s="313">
        <v>60</v>
      </c>
      <c r="BI181" s="313">
        <v>40</v>
      </c>
      <c r="BJ181" s="313" t="s">
        <v>742</v>
      </c>
      <c r="BK181" s="313">
        <v>-1</v>
      </c>
      <c r="BL181" s="313">
        <v>2</v>
      </c>
      <c r="BM181" s="313">
        <v>6</v>
      </c>
      <c r="BN181" s="313">
        <v>2</v>
      </c>
      <c r="BO181" s="313">
        <v>-2</v>
      </c>
      <c r="BP181" s="313"/>
    </row>
    <row r="182" spans="1:68">
      <c r="A182" s="313" t="s">
        <v>2250</v>
      </c>
      <c r="B182" s="315">
        <f t="shared" si="133"/>
        <v>0</v>
      </c>
      <c r="C182" s="313" t="str">
        <f t="shared" si="134"/>
        <v>No Stats</v>
      </c>
      <c r="D182" s="313">
        <f t="shared" si="135"/>
        <v>0</v>
      </c>
      <c r="E182" s="315">
        <v>0</v>
      </c>
      <c r="F182" s="315">
        <v>0</v>
      </c>
      <c r="G182" s="315">
        <v>0</v>
      </c>
      <c r="H182" s="315">
        <v>0</v>
      </c>
      <c r="I182" s="315">
        <v>0</v>
      </c>
      <c r="J182" s="315">
        <v>0</v>
      </c>
      <c r="K182" s="315">
        <v>0</v>
      </c>
      <c r="L182" s="315">
        <v>0</v>
      </c>
      <c r="M182" s="315">
        <v>15</v>
      </c>
      <c r="N182" s="315">
        <v>0</v>
      </c>
      <c r="O182" s="315">
        <f t="shared" si="136"/>
        <v>0</v>
      </c>
      <c r="P182" s="315" t="e">
        <f t="shared" si="137"/>
        <v>#N/A</v>
      </c>
      <c r="Q182" s="315">
        <f t="shared" si="138"/>
        <v>0</v>
      </c>
      <c r="R182" s="315">
        <f t="shared" si="139"/>
        <v>0</v>
      </c>
      <c r="S182" s="315">
        <f t="shared" si="140"/>
        <v>0</v>
      </c>
      <c r="T182" s="315">
        <f t="shared" si="141"/>
        <v>0</v>
      </c>
      <c r="U182" s="315">
        <f t="shared" si="142"/>
        <v>0</v>
      </c>
      <c r="V182" s="315">
        <f t="shared" si="143"/>
        <v>0</v>
      </c>
      <c r="W182" s="313" t="s">
        <v>370</v>
      </c>
      <c r="X182" s="313"/>
      <c r="Y182" s="313"/>
      <c r="Z182" s="313"/>
      <c r="AA182" s="313"/>
      <c r="AB182" s="313"/>
      <c r="AC182" s="313"/>
      <c r="AD182" s="315" t="b">
        <f t="shared" si="103"/>
        <v>0</v>
      </c>
      <c r="AE182" s="315" t="b">
        <f t="shared" si="144"/>
        <v>0</v>
      </c>
      <c r="AF182" s="313"/>
      <c r="AG182" s="313"/>
      <c r="AH182" s="313"/>
      <c r="AI182" s="313"/>
      <c r="AJ182" s="313"/>
      <c r="AK182" s="313"/>
      <c r="AL182" s="313"/>
      <c r="AM182" s="313"/>
      <c r="AN182" s="313"/>
      <c r="AO182" s="313"/>
      <c r="AP182" s="313"/>
      <c r="AQ182" s="313"/>
      <c r="AR182" s="313"/>
      <c r="AS182" s="313"/>
      <c r="AT182" s="313"/>
      <c r="AU182" s="313"/>
      <c r="AV182" s="313"/>
      <c r="AX182" s="315">
        <f t="shared" si="145"/>
        <v>0</v>
      </c>
      <c r="AY182" s="315">
        <f t="shared" si="146"/>
        <v>0</v>
      </c>
      <c r="AZ182" s="313" t="s">
        <v>2245</v>
      </c>
      <c r="BA182" s="313" t="s">
        <v>2248</v>
      </c>
      <c r="BB182" s="313" t="s">
        <v>2250</v>
      </c>
      <c r="BC182" s="313" t="s">
        <v>417</v>
      </c>
      <c r="BE182" s="313"/>
      <c r="BG182" s="313"/>
      <c r="BH182" s="313"/>
      <c r="BI182" s="313"/>
      <c r="BJ182" s="313"/>
      <c r="BK182" s="313"/>
      <c r="BL182" s="313"/>
      <c r="BM182" s="313"/>
      <c r="BN182" s="313"/>
      <c r="BO182" s="313"/>
      <c r="BP182" s="313"/>
    </row>
    <row r="183" spans="1:68">
      <c r="A183" s="313" t="s">
        <v>2247</v>
      </c>
      <c r="B183" s="315">
        <f t="shared" si="133"/>
        <v>0</v>
      </c>
      <c r="C183" s="313" t="str">
        <f t="shared" si="134"/>
        <v>No Stats</v>
      </c>
      <c r="D183" s="313">
        <f t="shared" si="135"/>
        <v>0</v>
      </c>
      <c r="E183" s="315">
        <v>0</v>
      </c>
      <c r="F183" s="315">
        <v>0</v>
      </c>
      <c r="G183" s="315">
        <v>0</v>
      </c>
      <c r="H183" s="315">
        <v>0</v>
      </c>
      <c r="I183" s="315">
        <v>0</v>
      </c>
      <c r="J183" s="315">
        <v>0</v>
      </c>
      <c r="K183" s="315">
        <v>0</v>
      </c>
      <c r="L183" s="315">
        <v>0</v>
      </c>
      <c r="M183" s="315">
        <v>15</v>
      </c>
      <c r="N183" s="315">
        <v>0</v>
      </c>
      <c r="O183" s="315">
        <f t="shared" si="136"/>
        <v>0</v>
      </c>
      <c r="P183" s="315" t="e">
        <f t="shared" si="137"/>
        <v>#N/A</v>
      </c>
      <c r="Q183" s="315">
        <f t="shared" si="138"/>
        <v>0</v>
      </c>
      <c r="R183" s="315">
        <f t="shared" si="139"/>
        <v>0</v>
      </c>
      <c r="S183" s="315">
        <f t="shared" si="140"/>
        <v>0</v>
      </c>
      <c r="T183" s="315">
        <f t="shared" si="141"/>
        <v>0</v>
      </c>
      <c r="U183" s="315">
        <f t="shared" si="142"/>
        <v>0</v>
      </c>
      <c r="V183" s="315">
        <f t="shared" si="143"/>
        <v>0</v>
      </c>
      <c r="W183" s="313" t="s">
        <v>374</v>
      </c>
      <c r="X183" s="313"/>
      <c r="Y183" s="313"/>
      <c r="Z183" s="313"/>
      <c r="AA183" s="313"/>
      <c r="AB183" s="313"/>
      <c r="AC183" s="313"/>
      <c r="AD183" s="315" t="b">
        <f t="shared" si="103"/>
        <v>0</v>
      </c>
      <c r="AE183" s="315" t="b">
        <f t="shared" si="144"/>
        <v>0</v>
      </c>
      <c r="AF183" s="313"/>
      <c r="AG183" s="313"/>
      <c r="AH183" s="313"/>
      <c r="AI183" s="313"/>
      <c r="AJ183" s="313"/>
      <c r="AK183" s="313"/>
      <c r="AL183" s="313"/>
      <c r="AM183" s="313"/>
      <c r="AN183" s="313"/>
      <c r="AO183" s="313"/>
      <c r="AP183" s="313"/>
      <c r="AQ183" s="313"/>
      <c r="AR183" s="313"/>
      <c r="AS183" s="313"/>
      <c r="AT183" s="313"/>
      <c r="AU183" s="313"/>
      <c r="AV183" s="313"/>
      <c r="AX183" s="315">
        <f t="shared" si="145"/>
        <v>0</v>
      </c>
      <c r="AY183" s="315">
        <f t="shared" si="146"/>
        <v>0</v>
      </c>
      <c r="AZ183" s="313" t="s">
        <v>2245</v>
      </c>
      <c r="BA183" s="313" t="s">
        <v>2248</v>
      </c>
      <c r="BB183" s="313" t="s">
        <v>2247</v>
      </c>
      <c r="BC183" s="313" t="s">
        <v>417</v>
      </c>
      <c r="BE183" s="313"/>
      <c r="BG183" s="313"/>
      <c r="BH183" s="313"/>
      <c r="BI183" s="313"/>
      <c r="BJ183" s="313"/>
      <c r="BK183" s="313"/>
      <c r="BL183" s="313"/>
      <c r="BM183" s="313"/>
      <c r="BN183" s="313"/>
      <c r="BO183" s="313"/>
      <c r="BP183" s="313"/>
    </row>
    <row r="184" spans="1:68">
      <c r="A184" s="313" t="s">
        <v>2249</v>
      </c>
      <c r="B184" s="315">
        <f t="shared" si="133"/>
        <v>0</v>
      </c>
      <c r="C184" s="313" t="str">
        <f t="shared" si="134"/>
        <v>No Stats</v>
      </c>
      <c r="D184" s="313">
        <f t="shared" si="135"/>
        <v>0</v>
      </c>
      <c r="E184" s="315">
        <v>0</v>
      </c>
      <c r="F184" s="315">
        <v>0</v>
      </c>
      <c r="G184" s="315">
        <v>0</v>
      </c>
      <c r="H184" s="315">
        <v>0</v>
      </c>
      <c r="I184" s="315">
        <v>0</v>
      </c>
      <c r="J184" s="315">
        <v>0</v>
      </c>
      <c r="K184" s="315">
        <v>0</v>
      </c>
      <c r="L184" s="315">
        <v>0</v>
      </c>
      <c r="M184" s="315">
        <v>15</v>
      </c>
      <c r="N184" s="315">
        <v>0</v>
      </c>
      <c r="O184" s="315">
        <f t="shared" si="136"/>
        <v>0</v>
      </c>
      <c r="P184" s="315" t="e">
        <f t="shared" si="137"/>
        <v>#N/A</v>
      </c>
      <c r="Q184" s="315">
        <f t="shared" si="138"/>
        <v>0</v>
      </c>
      <c r="R184" s="315">
        <f t="shared" si="139"/>
        <v>0</v>
      </c>
      <c r="S184" s="315">
        <f t="shared" si="140"/>
        <v>0</v>
      </c>
      <c r="T184" s="315">
        <f t="shared" si="141"/>
        <v>0</v>
      </c>
      <c r="U184" s="315">
        <f t="shared" si="142"/>
        <v>0</v>
      </c>
      <c r="V184" s="315">
        <f t="shared" si="143"/>
        <v>0</v>
      </c>
      <c r="W184" s="313" t="s">
        <v>368</v>
      </c>
      <c r="X184" s="313"/>
      <c r="Y184" s="313"/>
      <c r="Z184" s="313"/>
      <c r="AA184" s="313"/>
      <c r="AB184" s="313"/>
      <c r="AC184" s="313"/>
      <c r="AD184" s="315" t="b">
        <f t="shared" si="103"/>
        <v>0</v>
      </c>
      <c r="AE184" s="315" t="b">
        <f t="shared" si="144"/>
        <v>0</v>
      </c>
      <c r="AF184" s="313"/>
      <c r="AG184" s="313"/>
      <c r="AH184" s="313"/>
      <c r="AI184" s="313"/>
      <c r="AJ184" s="313"/>
      <c r="AK184" s="313"/>
      <c r="AL184" s="313"/>
      <c r="AM184" s="313"/>
      <c r="AN184" s="313"/>
      <c r="AO184" s="313"/>
      <c r="AP184" s="313"/>
      <c r="AQ184" s="313"/>
      <c r="AR184" s="313"/>
      <c r="AS184" s="313"/>
      <c r="AT184" s="313"/>
      <c r="AU184" s="313"/>
      <c r="AV184" s="313"/>
      <c r="AX184" s="315">
        <f t="shared" si="145"/>
        <v>0</v>
      </c>
      <c r="AY184" s="315">
        <f t="shared" si="146"/>
        <v>0</v>
      </c>
      <c r="AZ184" s="313" t="s">
        <v>2245</v>
      </c>
      <c r="BA184" s="313" t="s">
        <v>2248</v>
      </c>
      <c r="BB184" s="313" t="s">
        <v>2249</v>
      </c>
      <c r="BC184" s="313" t="s">
        <v>417</v>
      </c>
      <c r="BE184" s="313"/>
      <c r="BG184" s="313"/>
      <c r="BH184" s="313"/>
      <c r="BI184" s="313"/>
      <c r="BJ184" s="313"/>
      <c r="BK184" s="313"/>
      <c r="BL184" s="313"/>
      <c r="BM184" s="313"/>
      <c r="BN184" s="313"/>
      <c r="BO184" s="313"/>
      <c r="BP184" s="313"/>
    </row>
    <row r="185" spans="1:68">
      <c r="A185" s="313" t="s">
        <v>2254</v>
      </c>
      <c r="B185" s="315">
        <f t="shared" si="133"/>
        <v>0</v>
      </c>
      <c r="C185" s="313" t="str">
        <f t="shared" si="134"/>
        <v>No Stats</v>
      </c>
      <c r="D185" s="313">
        <f t="shared" si="135"/>
        <v>0</v>
      </c>
      <c r="E185" s="315">
        <v>0</v>
      </c>
      <c r="F185" s="315">
        <v>0</v>
      </c>
      <c r="G185" s="315">
        <v>0</v>
      </c>
      <c r="H185" s="315">
        <v>0</v>
      </c>
      <c r="I185" s="315">
        <v>0</v>
      </c>
      <c r="J185" s="315">
        <v>0</v>
      </c>
      <c r="K185" s="315">
        <v>0</v>
      </c>
      <c r="L185" s="315">
        <v>0</v>
      </c>
      <c r="M185" s="315">
        <v>15</v>
      </c>
      <c r="N185" s="315">
        <v>0</v>
      </c>
      <c r="O185" s="315">
        <f t="shared" si="136"/>
        <v>0</v>
      </c>
      <c r="P185" s="315" t="e">
        <f t="shared" si="137"/>
        <v>#N/A</v>
      </c>
      <c r="Q185" s="315">
        <f t="shared" si="138"/>
        <v>0</v>
      </c>
      <c r="R185" s="315">
        <f t="shared" si="139"/>
        <v>0</v>
      </c>
      <c r="S185" s="315">
        <f t="shared" si="140"/>
        <v>0</v>
      </c>
      <c r="T185" s="315">
        <f t="shared" si="141"/>
        <v>0</v>
      </c>
      <c r="U185" s="315">
        <f t="shared" si="142"/>
        <v>0</v>
      </c>
      <c r="V185" s="315">
        <f t="shared" si="143"/>
        <v>0</v>
      </c>
      <c r="W185" s="313" t="s">
        <v>371</v>
      </c>
      <c r="X185" s="313"/>
      <c r="Y185" s="313"/>
      <c r="Z185" s="313"/>
      <c r="AA185" s="313"/>
      <c r="AB185" s="313"/>
      <c r="AC185" s="313"/>
      <c r="AD185" s="315" t="b">
        <f t="shared" si="103"/>
        <v>0</v>
      </c>
      <c r="AE185" s="315" t="b">
        <f t="shared" si="144"/>
        <v>0</v>
      </c>
      <c r="AF185" s="313"/>
      <c r="AG185" s="313"/>
      <c r="AH185" s="313"/>
      <c r="AI185" s="313"/>
      <c r="AJ185" s="313"/>
      <c r="AK185" s="313"/>
      <c r="AL185" s="313"/>
      <c r="AM185" s="313"/>
      <c r="AN185" s="313"/>
      <c r="AO185" s="313"/>
      <c r="AP185" s="313"/>
      <c r="AQ185" s="313"/>
      <c r="AR185" s="313"/>
      <c r="AS185" s="313"/>
      <c r="AT185" s="313"/>
      <c r="AU185" s="313"/>
      <c r="AV185" s="313"/>
      <c r="AX185" s="315">
        <f t="shared" si="145"/>
        <v>0</v>
      </c>
      <c r="AY185" s="315">
        <f t="shared" si="146"/>
        <v>0</v>
      </c>
      <c r="AZ185" s="313" t="s">
        <v>2245</v>
      </c>
      <c r="BA185" s="313" t="s">
        <v>2253</v>
      </c>
      <c r="BB185" s="313" t="s">
        <v>2254</v>
      </c>
      <c r="BC185" s="313" t="s">
        <v>417</v>
      </c>
      <c r="BE185" s="313"/>
      <c r="BG185" s="313"/>
      <c r="BH185" s="313"/>
      <c r="BI185" s="313"/>
      <c r="BJ185" s="313"/>
      <c r="BK185" s="313"/>
      <c r="BL185" s="313"/>
      <c r="BM185" s="313"/>
      <c r="BN185" s="313"/>
      <c r="BO185" s="313"/>
      <c r="BP185" s="313"/>
    </row>
    <row r="186" spans="1:68">
      <c r="A186" s="313" t="s">
        <v>2252</v>
      </c>
      <c r="B186" s="315">
        <f t="shared" si="133"/>
        <v>0</v>
      </c>
      <c r="C186" s="313" t="str">
        <f t="shared" si="134"/>
        <v>No Stats</v>
      </c>
      <c r="D186" s="313">
        <f t="shared" si="135"/>
        <v>0</v>
      </c>
      <c r="E186" s="315">
        <v>0</v>
      </c>
      <c r="F186" s="315">
        <v>0</v>
      </c>
      <c r="G186" s="315">
        <v>0</v>
      </c>
      <c r="H186" s="315">
        <v>0</v>
      </c>
      <c r="I186" s="315">
        <v>0</v>
      </c>
      <c r="J186" s="315">
        <v>0</v>
      </c>
      <c r="K186" s="315">
        <v>0</v>
      </c>
      <c r="L186" s="315">
        <v>0</v>
      </c>
      <c r="M186" s="315">
        <v>15</v>
      </c>
      <c r="N186" s="315">
        <v>0</v>
      </c>
      <c r="O186" s="315">
        <f t="shared" si="136"/>
        <v>0</v>
      </c>
      <c r="P186" s="315" t="e">
        <f t="shared" si="137"/>
        <v>#N/A</v>
      </c>
      <c r="Q186" s="315">
        <f t="shared" si="138"/>
        <v>0</v>
      </c>
      <c r="R186" s="315">
        <f t="shared" si="139"/>
        <v>0</v>
      </c>
      <c r="S186" s="315">
        <f t="shared" si="140"/>
        <v>0</v>
      </c>
      <c r="T186" s="315">
        <f t="shared" si="141"/>
        <v>0</v>
      </c>
      <c r="U186" s="315">
        <f t="shared" si="142"/>
        <v>0</v>
      </c>
      <c r="V186" s="315">
        <f t="shared" si="143"/>
        <v>0</v>
      </c>
      <c r="W186" s="313" t="s">
        <v>360</v>
      </c>
      <c r="X186" s="313"/>
      <c r="Y186" s="313"/>
      <c r="Z186" s="313"/>
      <c r="AA186" s="313"/>
      <c r="AB186" s="313"/>
      <c r="AC186" s="313"/>
      <c r="AD186" s="315" t="b">
        <f t="shared" si="103"/>
        <v>0</v>
      </c>
      <c r="AE186" s="315" t="b">
        <f t="shared" si="144"/>
        <v>0</v>
      </c>
      <c r="AF186" s="313"/>
      <c r="AG186" s="313"/>
      <c r="AH186" s="313"/>
      <c r="AI186" s="313"/>
      <c r="AJ186" s="313"/>
      <c r="AK186" s="313"/>
      <c r="AL186" s="313"/>
      <c r="AM186" s="313"/>
      <c r="AN186" s="313"/>
      <c r="AO186" s="313"/>
      <c r="AP186" s="313"/>
      <c r="AQ186" s="313"/>
      <c r="AR186" s="313"/>
      <c r="AS186" s="313"/>
      <c r="AT186" s="313"/>
      <c r="AU186" s="313"/>
      <c r="AV186" s="313"/>
      <c r="AX186" s="315">
        <f t="shared" si="145"/>
        <v>0</v>
      </c>
      <c r="AY186" s="315">
        <f t="shared" si="146"/>
        <v>0</v>
      </c>
      <c r="AZ186" s="313" t="s">
        <v>2245</v>
      </c>
      <c r="BA186" s="313" t="s">
        <v>2253</v>
      </c>
      <c r="BB186" s="313" t="s">
        <v>2252</v>
      </c>
      <c r="BC186" s="313" t="s">
        <v>417</v>
      </c>
      <c r="BE186" s="313"/>
      <c r="BG186" s="313"/>
      <c r="BH186" s="313"/>
      <c r="BI186" s="313"/>
      <c r="BJ186" s="313"/>
      <c r="BK186" s="313"/>
      <c r="BL186" s="313"/>
      <c r="BM186" s="313"/>
      <c r="BN186" s="313"/>
      <c r="BO186" s="313"/>
      <c r="BP186" s="313"/>
    </row>
    <row r="187" spans="1:68">
      <c r="A187" s="313" t="s">
        <v>2255</v>
      </c>
      <c r="B187" s="315">
        <f t="shared" si="133"/>
        <v>0</v>
      </c>
      <c r="C187" s="313" t="str">
        <f t="shared" si="134"/>
        <v>No Stats</v>
      </c>
      <c r="D187" s="313">
        <f t="shared" si="135"/>
        <v>0</v>
      </c>
      <c r="E187" s="315">
        <v>0</v>
      </c>
      <c r="F187" s="315">
        <v>0</v>
      </c>
      <c r="G187" s="315">
        <v>0</v>
      </c>
      <c r="H187" s="315">
        <v>0</v>
      </c>
      <c r="I187" s="315">
        <v>0</v>
      </c>
      <c r="J187" s="315">
        <v>0</v>
      </c>
      <c r="K187" s="315">
        <v>0</v>
      </c>
      <c r="L187" s="315">
        <v>0</v>
      </c>
      <c r="M187" s="315">
        <v>15</v>
      </c>
      <c r="N187" s="315">
        <v>0</v>
      </c>
      <c r="O187" s="315">
        <f t="shared" si="136"/>
        <v>0</v>
      </c>
      <c r="P187" s="315" t="e">
        <f t="shared" si="137"/>
        <v>#N/A</v>
      </c>
      <c r="Q187" s="315">
        <f t="shared" si="138"/>
        <v>0</v>
      </c>
      <c r="R187" s="315">
        <f t="shared" si="139"/>
        <v>0</v>
      </c>
      <c r="S187" s="315">
        <f t="shared" si="140"/>
        <v>0</v>
      </c>
      <c r="T187" s="315">
        <f t="shared" si="141"/>
        <v>0</v>
      </c>
      <c r="U187" s="315">
        <f t="shared" si="142"/>
        <v>0</v>
      </c>
      <c r="V187" s="315">
        <f t="shared" si="143"/>
        <v>0</v>
      </c>
      <c r="W187" s="313" t="s">
        <v>369</v>
      </c>
      <c r="X187" s="313"/>
      <c r="Y187" s="313"/>
      <c r="Z187" s="313"/>
      <c r="AA187" s="313"/>
      <c r="AB187" s="313"/>
      <c r="AC187" s="313"/>
      <c r="AD187" s="315" t="b">
        <f t="shared" si="103"/>
        <v>0</v>
      </c>
      <c r="AE187" s="315" t="b">
        <f t="shared" si="144"/>
        <v>0</v>
      </c>
      <c r="AF187" s="313"/>
      <c r="AG187" s="313"/>
      <c r="AH187" s="313"/>
      <c r="AI187" s="313"/>
      <c r="AJ187" s="313"/>
      <c r="AK187" s="313"/>
      <c r="AL187" s="313"/>
      <c r="AM187" s="313"/>
      <c r="AN187" s="313"/>
      <c r="AO187" s="313"/>
      <c r="AP187" s="313"/>
      <c r="AQ187" s="313"/>
      <c r="AR187" s="313"/>
      <c r="AS187" s="313"/>
      <c r="AT187" s="313"/>
      <c r="AU187" s="313"/>
      <c r="AV187" s="313"/>
      <c r="AX187" s="315">
        <f t="shared" si="145"/>
        <v>0</v>
      </c>
      <c r="AY187" s="315">
        <f t="shared" si="146"/>
        <v>0</v>
      </c>
      <c r="AZ187" s="313" t="s">
        <v>2245</v>
      </c>
      <c r="BA187" s="313" t="s">
        <v>2253</v>
      </c>
      <c r="BB187" s="313" t="s">
        <v>2255</v>
      </c>
      <c r="BC187" s="313" t="s">
        <v>417</v>
      </c>
      <c r="BE187" s="313"/>
      <c r="BG187" s="313"/>
      <c r="BH187" s="313"/>
      <c r="BI187" s="313"/>
      <c r="BJ187" s="313"/>
      <c r="BK187" s="313"/>
      <c r="BL187" s="313"/>
      <c r="BM187" s="313"/>
      <c r="BN187" s="313"/>
      <c r="BO187" s="313"/>
      <c r="BP187" s="313"/>
    </row>
    <row r="188" spans="1:68">
      <c r="A188" s="313" t="s">
        <v>2256</v>
      </c>
      <c r="B188" s="315">
        <f t="shared" si="133"/>
        <v>0</v>
      </c>
      <c r="C188" s="313" t="str">
        <f t="shared" si="134"/>
        <v>No Stats</v>
      </c>
      <c r="D188" s="313">
        <f t="shared" si="135"/>
        <v>0</v>
      </c>
      <c r="E188" s="315">
        <v>0</v>
      </c>
      <c r="F188" s="315">
        <v>0</v>
      </c>
      <c r="G188" s="315">
        <v>0</v>
      </c>
      <c r="H188" s="315">
        <v>0</v>
      </c>
      <c r="I188" s="315">
        <v>0</v>
      </c>
      <c r="J188" s="315">
        <v>0</v>
      </c>
      <c r="K188" s="315">
        <v>0</v>
      </c>
      <c r="L188" s="315">
        <v>0</v>
      </c>
      <c r="M188" s="315">
        <v>15</v>
      </c>
      <c r="N188" s="315">
        <v>0</v>
      </c>
      <c r="O188" s="315">
        <f t="shared" si="136"/>
        <v>0</v>
      </c>
      <c r="P188" s="315" t="e">
        <f t="shared" si="137"/>
        <v>#N/A</v>
      </c>
      <c r="Q188" s="315">
        <f t="shared" si="138"/>
        <v>0</v>
      </c>
      <c r="R188" s="315">
        <f t="shared" si="139"/>
        <v>0</v>
      </c>
      <c r="S188" s="315">
        <f t="shared" si="140"/>
        <v>0</v>
      </c>
      <c r="T188" s="315">
        <f t="shared" si="141"/>
        <v>0</v>
      </c>
      <c r="U188" s="315">
        <f t="shared" si="142"/>
        <v>0</v>
      </c>
      <c r="V188" s="315">
        <f t="shared" si="143"/>
        <v>0</v>
      </c>
      <c r="W188" s="313" t="s">
        <v>359</v>
      </c>
      <c r="X188" s="313"/>
      <c r="Y188" s="313"/>
      <c r="Z188" s="313"/>
      <c r="AA188" s="313"/>
      <c r="AB188" s="313"/>
      <c r="AC188" s="313"/>
      <c r="AD188" s="315" t="b">
        <f t="shared" si="103"/>
        <v>0</v>
      </c>
      <c r="AE188" s="315" t="b">
        <f t="shared" si="144"/>
        <v>0</v>
      </c>
      <c r="AF188" s="313"/>
      <c r="AG188" s="313"/>
      <c r="AH188" s="313"/>
      <c r="AI188" s="313"/>
      <c r="AJ188" s="313"/>
      <c r="AK188" s="313"/>
      <c r="AL188" s="313"/>
      <c r="AM188" s="313"/>
      <c r="AN188" s="313"/>
      <c r="AO188" s="313"/>
      <c r="AP188" s="313"/>
      <c r="AQ188" s="313"/>
      <c r="AR188" s="313"/>
      <c r="AS188" s="313"/>
      <c r="AT188" s="313"/>
      <c r="AU188" s="313"/>
      <c r="AV188" s="313"/>
      <c r="AX188" s="315">
        <f t="shared" si="145"/>
        <v>0</v>
      </c>
      <c r="AY188" s="315">
        <f t="shared" si="146"/>
        <v>0</v>
      </c>
      <c r="AZ188" s="313" t="s">
        <v>2245</v>
      </c>
      <c r="BA188" s="313" t="s">
        <v>2257</v>
      </c>
      <c r="BB188" s="313" t="s">
        <v>2256</v>
      </c>
      <c r="BC188" s="313" t="s">
        <v>417</v>
      </c>
      <c r="BE188" s="313"/>
      <c r="BG188" s="313"/>
      <c r="BH188" s="313"/>
      <c r="BI188" s="313"/>
      <c r="BJ188" s="313"/>
      <c r="BK188" s="313"/>
      <c r="BL188" s="313"/>
      <c r="BM188" s="313"/>
      <c r="BN188" s="313"/>
      <c r="BO188" s="313"/>
      <c r="BP188" s="313"/>
    </row>
    <row r="189" spans="1:68">
      <c r="A189" s="313" t="s">
        <v>755</v>
      </c>
      <c r="B189" s="315" t="str">
        <f t="shared" si="133"/>
        <v>1D6 X 1D10</v>
      </c>
      <c r="C189" s="313" t="str">
        <f t="shared" si="134"/>
        <v>Herbivore</v>
      </c>
      <c r="D189" s="313" t="str">
        <f t="shared" si="135"/>
        <v>Non-threatening</v>
      </c>
      <c r="E189" s="315">
        <v>0</v>
      </c>
      <c r="F189" s="315">
        <v>0</v>
      </c>
      <c r="G189" s="315">
        <v>0</v>
      </c>
      <c r="H189" s="315">
        <v>0</v>
      </c>
      <c r="I189" s="315">
        <v>0</v>
      </c>
      <c r="J189" s="315">
        <v>0</v>
      </c>
      <c r="K189" s="315">
        <v>0</v>
      </c>
      <c r="L189" s="315">
        <v>0</v>
      </c>
      <c r="M189" s="315">
        <v>15</v>
      </c>
      <c r="N189" s="315">
        <v>0</v>
      </c>
      <c r="O189" s="315">
        <f t="shared" si="136"/>
        <v>2</v>
      </c>
      <c r="P189" s="315">
        <f t="shared" si="137"/>
        <v>0</v>
      </c>
      <c r="Q189" s="315" t="str">
        <f t="shared" si="138"/>
        <v>Heavy Hide</v>
      </c>
      <c r="R189" s="315" t="str">
        <f t="shared" si="139"/>
        <v>Heavy Hide</v>
      </c>
      <c r="S189" s="315" t="str">
        <f t="shared" si="140"/>
        <v>Heavy Hide</v>
      </c>
      <c r="T189" s="315" t="str">
        <f t="shared" si="141"/>
        <v>Heavy Hide</v>
      </c>
      <c r="U189" s="315" t="str">
        <f t="shared" si="142"/>
        <v>Heavy Hide</v>
      </c>
      <c r="V189" s="315" t="str">
        <f t="shared" si="143"/>
        <v>Heavy Hide</v>
      </c>
      <c r="W189" s="313" t="s">
        <v>357</v>
      </c>
      <c r="X189" s="313" t="s">
        <v>408</v>
      </c>
      <c r="Y189" s="313"/>
      <c r="Z189" s="313"/>
      <c r="AA189" s="313"/>
      <c r="AB189" s="313"/>
      <c r="AC189" s="313"/>
      <c r="AD189" s="315">
        <f t="shared" si="103"/>
        <v>5</v>
      </c>
      <c r="AE189" s="315">
        <f t="shared" si="144"/>
        <v>5</v>
      </c>
      <c r="AF189" s="313"/>
      <c r="AG189" s="313"/>
      <c r="AH189" s="313"/>
      <c r="AI189" s="313"/>
      <c r="AJ189" s="313"/>
      <c r="AK189" s="313"/>
      <c r="AL189" s="313"/>
      <c r="AM189" s="313"/>
      <c r="AN189" s="313"/>
      <c r="AO189" s="313"/>
      <c r="AP189" s="313"/>
      <c r="AQ189" s="313"/>
      <c r="AR189" s="313"/>
      <c r="AS189" s="313"/>
      <c r="AT189" s="313"/>
      <c r="AU189" s="313"/>
      <c r="AV189" s="313"/>
      <c r="AX189" s="315">
        <f t="shared" si="145"/>
        <v>65</v>
      </c>
      <c r="AY189" s="315">
        <f t="shared" si="146"/>
        <v>0</v>
      </c>
      <c r="AZ189" s="313" t="s">
        <v>914</v>
      </c>
      <c r="BA189" s="313" t="s">
        <v>756</v>
      </c>
      <c r="BB189" s="313" t="s">
        <v>755</v>
      </c>
      <c r="BC189" s="313" t="s">
        <v>393</v>
      </c>
      <c r="BD189" s="315" t="s">
        <v>362</v>
      </c>
      <c r="BE189" s="313" t="s">
        <v>395</v>
      </c>
      <c r="BF189" s="315">
        <v>2</v>
      </c>
      <c r="BG189" s="313" t="s">
        <v>396</v>
      </c>
      <c r="BH189" s="313">
        <v>80</v>
      </c>
      <c r="BI189" s="313">
        <v>65</v>
      </c>
      <c r="BJ189" s="313" t="s">
        <v>389</v>
      </c>
      <c r="BK189" s="313">
        <v>0</v>
      </c>
      <c r="BL189" s="313">
        <v>2</v>
      </c>
      <c r="BM189" s="313">
        <v>6</v>
      </c>
      <c r="BN189" s="313">
        <v>1</v>
      </c>
      <c r="BO189" s="313">
        <v>0</v>
      </c>
      <c r="BP189" s="313"/>
    </row>
    <row r="190" spans="1:68">
      <c r="A190" s="313" t="s">
        <v>981</v>
      </c>
      <c r="B190" s="315">
        <f t="shared" si="133"/>
        <v>1</v>
      </c>
      <c r="C190" s="313" t="str">
        <f t="shared" si="134"/>
        <v>Carnivore</v>
      </c>
      <c r="D190" s="313" t="str">
        <f t="shared" si="135"/>
        <v>Aggressive</v>
      </c>
      <c r="E190" s="315">
        <v>0</v>
      </c>
      <c r="F190" s="315">
        <v>0</v>
      </c>
      <c r="G190" s="315">
        <v>0</v>
      </c>
      <c r="H190" s="315">
        <v>0</v>
      </c>
      <c r="I190" s="315">
        <v>0</v>
      </c>
      <c r="J190" s="315">
        <v>0</v>
      </c>
      <c r="K190" s="315">
        <v>0</v>
      </c>
      <c r="L190" s="315">
        <v>0</v>
      </c>
      <c r="M190" s="315">
        <v>15</v>
      </c>
      <c r="N190" s="315">
        <v>0</v>
      </c>
      <c r="O190" s="315">
        <f t="shared" si="136"/>
        <v>3</v>
      </c>
      <c r="P190" s="315">
        <f t="shared" si="137"/>
        <v>0</v>
      </c>
      <c r="Q190" s="315" t="str">
        <f t="shared" si="138"/>
        <v>Exoskeleton</v>
      </c>
      <c r="R190" s="315" t="str">
        <f t="shared" si="139"/>
        <v>Exoskeleton</v>
      </c>
      <c r="S190" s="315" t="str">
        <f t="shared" si="140"/>
        <v>Exoskeleton</v>
      </c>
      <c r="T190" s="315" t="str">
        <f t="shared" si="141"/>
        <v>Exoskeleton</v>
      </c>
      <c r="U190" s="315" t="str">
        <f t="shared" si="142"/>
        <v>Exoskeleton</v>
      </c>
      <c r="V190" s="315" t="str">
        <f t="shared" si="143"/>
        <v>Exoskeleton</v>
      </c>
      <c r="W190" s="313" t="s">
        <v>361</v>
      </c>
      <c r="X190" t="s">
        <v>1675</v>
      </c>
      <c r="Y190" s="313"/>
      <c r="Z190" s="313"/>
      <c r="AA190" s="313"/>
      <c r="AB190" s="313"/>
      <c r="AC190" s="313"/>
      <c r="AD190" s="315">
        <f t="shared" si="103"/>
        <v>10</v>
      </c>
      <c r="AE190" s="315">
        <f t="shared" si="144"/>
        <v>10</v>
      </c>
      <c r="AF190" s="313"/>
      <c r="AG190" s="313"/>
      <c r="AH190" s="313"/>
      <c r="AI190" s="313"/>
      <c r="AJ190" s="313"/>
      <c r="AK190" s="313"/>
      <c r="AL190" s="313"/>
      <c r="AM190" s="313"/>
      <c r="AN190" s="313"/>
      <c r="AO190" s="313"/>
      <c r="AP190" s="313"/>
      <c r="AQ190" s="313"/>
      <c r="AR190" s="313"/>
      <c r="AS190" s="313"/>
      <c r="AT190" s="313"/>
      <c r="AU190" s="313"/>
      <c r="AV190" s="313"/>
      <c r="AX190" s="315">
        <f t="shared" si="145"/>
        <v>0</v>
      </c>
      <c r="AY190" s="315">
        <f t="shared" si="146"/>
        <v>0</v>
      </c>
      <c r="AZ190" s="313" t="s">
        <v>914</v>
      </c>
      <c r="BA190" s="313" t="s">
        <v>756</v>
      </c>
      <c r="BB190" s="313" t="s">
        <v>981</v>
      </c>
      <c r="BC190" s="313" t="s">
        <v>399</v>
      </c>
      <c r="BD190" s="315">
        <v>1</v>
      </c>
      <c r="BE190" s="313" t="s">
        <v>363</v>
      </c>
      <c r="BF190" s="315">
        <v>3</v>
      </c>
      <c r="BG190" s="313" t="s">
        <v>406</v>
      </c>
      <c r="BH190" s="313">
        <v>80</v>
      </c>
      <c r="BI190" s="313">
        <v>0</v>
      </c>
      <c r="BJ190" s="313" t="s">
        <v>364</v>
      </c>
      <c r="BK190" s="313">
        <v>0</v>
      </c>
      <c r="BL190" s="313">
        <v>2</v>
      </c>
      <c r="BM190" s="313">
        <v>6</v>
      </c>
      <c r="BN190" s="313">
        <v>1</v>
      </c>
      <c r="BO190" s="313">
        <v>0</v>
      </c>
      <c r="BP190" s="313"/>
    </row>
    <row r="191" spans="1:68">
      <c r="A191" s="313" t="s">
        <v>982</v>
      </c>
      <c r="B191" s="315">
        <f t="shared" si="133"/>
        <v>1</v>
      </c>
      <c r="C191" s="313" t="str">
        <f t="shared" si="134"/>
        <v>Carnivore</v>
      </c>
      <c r="D191" s="313" t="str">
        <f t="shared" si="135"/>
        <v>Dangerous</v>
      </c>
      <c r="E191" s="315">
        <v>0</v>
      </c>
      <c r="F191" s="315">
        <v>0</v>
      </c>
      <c r="G191" s="315">
        <v>0</v>
      </c>
      <c r="H191" s="315">
        <v>0</v>
      </c>
      <c r="I191" s="315">
        <v>0</v>
      </c>
      <c r="J191" s="315">
        <v>0</v>
      </c>
      <c r="K191" s="315">
        <v>0</v>
      </c>
      <c r="L191" s="315">
        <v>0</v>
      </c>
      <c r="M191" s="315">
        <v>15</v>
      </c>
      <c r="N191" s="315">
        <v>0</v>
      </c>
      <c r="O191" s="315">
        <f t="shared" si="136"/>
        <v>4</v>
      </c>
      <c r="P191" s="315">
        <f t="shared" si="137"/>
        <v>-5</v>
      </c>
      <c r="Q191" s="315" t="str">
        <f t="shared" si="138"/>
        <v>Fur/Feathers</v>
      </c>
      <c r="R191" s="315" t="str">
        <f t="shared" si="139"/>
        <v>Fur/Feathers</v>
      </c>
      <c r="S191" s="315" t="str">
        <f t="shared" si="140"/>
        <v>Fur/Feathers</v>
      </c>
      <c r="T191" s="315" t="str">
        <f t="shared" si="141"/>
        <v>Fur/Feathers</v>
      </c>
      <c r="U191" s="315" t="str">
        <f t="shared" si="142"/>
        <v>Fur/Feathers</v>
      </c>
      <c r="V191" s="315" t="str">
        <f t="shared" si="143"/>
        <v>Fur/Feathers</v>
      </c>
      <c r="W191" s="313" t="s">
        <v>358</v>
      </c>
      <c r="X191" s="313" t="s">
        <v>398</v>
      </c>
      <c r="Y191" s="313"/>
      <c r="Z191" s="313"/>
      <c r="AA191" s="313"/>
      <c r="AB191" s="313"/>
      <c r="AC191" s="313"/>
      <c r="AD191" s="315">
        <f t="shared" si="103"/>
        <v>15</v>
      </c>
      <c r="AE191" s="315">
        <f t="shared" si="144"/>
        <v>15</v>
      </c>
      <c r="AF191" s="313"/>
      <c r="AG191" s="313"/>
      <c r="AH191" s="313"/>
      <c r="AI191" s="313"/>
      <c r="AJ191" s="313"/>
      <c r="AK191" s="313"/>
      <c r="AL191" s="313"/>
      <c r="AM191" s="313"/>
      <c r="AN191" s="313"/>
      <c r="AO191" s="313"/>
      <c r="AP191" s="313"/>
      <c r="AQ191" s="313"/>
      <c r="AR191" s="313"/>
      <c r="AS191" s="313"/>
      <c r="AT191" s="313"/>
      <c r="AU191" s="313"/>
      <c r="AV191" s="313"/>
      <c r="AX191" s="315">
        <f t="shared" si="145"/>
        <v>115</v>
      </c>
      <c r="AY191" s="315">
        <f t="shared" si="146"/>
        <v>0</v>
      </c>
      <c r="AZ191" s="313" t="s">
        <v>914</v>
      </c>
      <c r="BA191" s="313" t="s">
        <v>756</v>
      </c>
      <c r="BB191" s="313" t="s">
        <v>982</v>
      </c>
      <c r="BC191" s="313" t="s">
        <v>399</v>
      </c>
      <c r="BD191" s="315">
        <v>1</v>
      </c>
      <c r="BE191" s="313" t="s">
        <v>391</v>
      </c>
      <c r="BF191" s="315">
        <v>4</v>
      </c>
      <c r="BG191" s="313" t="s">
        <v>402</v>
      </c>
      <c r="BH191" s="313">
        <v>10</v>
      </c>
      <c r="BI191" s="313">
        <v>115</v>
      </c>
      <c r="BJ191" s="313" t="s">
        <v>403</v>
      </c>
      <c r="BK191" s="313">
        <v>0</v>
      </c>
      <c r="BL191" s="313">
        <v>2</v>
      </c>
      <c r="BM191" s="313">
        <v>4</v>
      </c>
      <c r="BN191" s="313">
        <v>-5</v>
      </c>
      <c r="BO191" s="313">
        <v>0</v>
      </c>
      <c r="BP191" s="313"/>
    </row>
    <row r="192" spans="1:68">
      <c r="A192" s="313" t="s">
        <v>729</v>
      </c>
      <c r="B192" s="315" t="str">
        <f t="shared" si="133"/>
        <v>2D6</v>
      </c>
      <c r="C192" s="313" t="str">
        <f t="shared" si="134"/>
        <v>Carnivore</v>
      </c>
      <c r="D192" s="313" t="str">
        <f t="shared" si="135"/>
        <v>Dangerous</v>
      </c>
      <c r="E192" s="315">
        <v>0</v>
      </c>
      <c r="F192" s="315">
        <v>0</v>
      </c>
      <c r="G192" s="315">
        <v>0</v>
      </c>
      <c r="H192" s="315">
        <v>0</v>
      </c>
      <c r="I192" s="315">
        <v>0</v>
      </c>
      <c r="J192" s="315">
        <v>0</v>
      </c>
      <c r="K192" s="315">
        <v>0</v>
      </c>
      <c r="L192" s="315">
        <v>0</v>
      </c>
      <c r="M192" s="315">
        <v>15</v>
      </c>
      <c r="N192" s="315">
        <v>0</v>
      </c>
      <c r="O192" s="315">
        <f t="shared" si="136"/>
        <v>8</v>
      </c>
      <c r="P192" s="315">
        <f t="shared" si="137"/>
        <v>-3</v>
      </c>
      <c r="Q192" s="315" t="str">
        <f t="shared" si="138"/>
        <v>Fur/Feathers</v>
      </c>
      <c r="R192" s="315" t="str">
        <f t="shared" si="139"/>
        <v>Fur/Feathers</v>
      </c>
      <c r="S192" s="315" t="str">
        <f t="shared" si="140"/>
        <v>Fur/Feathers</v>
      </c>
      <c r="T192" s="315" t="str">
        <f t="shared" si="141"/>
        <v>Fur/Feathers</v>
      </c>
      <c r="U192" s="315" t="str">
        <f t="shared" si="142"/>
        <v>Fur/Feathers</v>
      </c>
      <c r="V192" s="315" t="str">
        <f t="shared" si="143"/>
        <v>Fur/Feathers</v>
      </c>
      <c r="W192" s="313" t="s">
        <v>356</v>
      </c>
      <c r="X192" s="313" t="s">
        <v>398</v>
      </c>
      <c r="Y192" s="313"/>
      <c r="Z192" s="313"/>
      <c r="AA192" s="313"/>
      <c r="AB192" s="313"/>
      <c r="AC192" s="313"/>
      <c r="AD192" s="315">
        <f t="shared" si="103"/>
        <v>15</v>
      </c>
      <c r="AE192" s="315">
        <f t="shared" si="144"/>
        <v>15</v>
      </c>
      <c r="AF192" s="313"/>
      <c r="AG192" s="313"/>
      <c r="AH192" s="313"/>
      <c r="AI192" s="313"/>
      <c r="AJ192" s="313"/>
      <c r="AK192" s="313"/>
      <c r="AL192" s="313"/>
      <c r="AM192" s="313"/>
      <c r="AN192" s="313"/>
      <c r="AO192" s="313"/>
      <c r="AP192" s="313"/>
      <c r="AQ192" s="313"/>
      <c r="AR192" s="313"/>
      <c r="AS192" s="313"/>
      <c r="AT192" s="313"/>
      <c r="AU192" s="313"/>
      <c r="AV192" s="313"/>
      <c r="AX192" s="315">
        <f t="shared" si="145"/>
        <v>95</v>
      </c>
      <c r="AY192" s="315">
        <f t="shared" si="146"/>
        <v>0</v>
      </c>
      <c r="AZ192" s="313" t="s">
        <v>914</v>
      </c>
      <c r="BA192" s="313" t="s">
        <v>864</v>
      </c>
      <c r="BB192" s="313" t="s">
        <v>729</v>
      </c>
      <c r="BC192" s="313" t="s">
        <v>399</v>
      </c>
      <c r="BD192" s="315" t="s">
        <v>390</v>
      </c>
      <c r="BE192" s="313" t="s">
        <v>391</v>
      </c>
      <c r="BF192" s="315">
        <v>8</v>
      </c>
      <c r="BG192" s="313" t="s">
        <v>402</v>
      </c>
      <c r="BH192" s="313">
        <v>30</v>
      </c>
      <c r="BI192" s="313">
        <v>95</v>
      </c>
      <c r="BJ192" s="313" t="s">
        <v>403</v>
      </c>
      <c r="BK192" s="313">
        <v>-2</v>
      </c>
      <c r="BL192" s="313">
        <v>2</v>
      </c>
      <c r="BM192" s="313">
        <v>3</v>
      </c>
      <c r="BN192" s="313">
        <v>2</v>
      </c>
      <c r="BO192" s="313">
        <v>-5</v>
      </c>
      <c r="BP192" s="313"/>
    </row>
    <row r="193" spans="1:68">
      <c r="A193" s="313" t="s">
        <v>730</v>
      </c>
      <c r="B193" s="315" t="str">
        <f t="shared" si="133"/>
        <v>6D10</v>
      </c>
      <c r="C193" s="313" t="str">
        <f t="shared" si="134"/>
        <v>Carnivore</v>
      </c>
      <c r="D193" s="313" t="str">
        <f t="shared" si="135"/>
        <v>Non-threatening</v>
      </c>
      <c r="E193" s="315">
        <v>0</v>
      </c>
      <c r="F193" s="315">
        <v>0</v>
      </c>
      <c r="G193" s="315">
        <v>0</v>
      </c>
      <c r="H193" s="315">
        <v>0</v>
      </c>
      <c r="I193" s="315">
        <v>0</v>
      </c>
      <c r="J193" s="315">
        <v>0</v>
      </c>
      <c r="K193" s="315">
        <v>0</v>
      </c>
      <c r="L193" s="315">
        <v>0</v>
      </c>
      <c r="M193" s="315">
        <v>15</v>
      </c>
      <c r="N193" s="315">
        <v>0</v>
      </c>
      <c r="O193" s="315">
        <f t="shared" si="136"/>
        <v>6</v>
      </c>
      <c r="P193" s="315">
        <f t="shared" si="137"/>
        <v>-3</v>
      </c>
      <c r="Q193" s="315" t="str">
        <f t="shared" si="138"/>
        <v>Fur/Feathers</v>
      </c>
      <c r="R193" s="315" t="str">
        <f t="shared" si="139"/>
        <v>Fur/Feathers</v>
      </c>
      <c r="S193" s="315" t="str">
        <f t="shared" si="140"/>
        <v>Fur/Feathers</v>
      </c>
      <c r="T193" s="315" t="str">
        <f t="shared" si="141"/>
        <v>Fur/Feathers</v>
      </c>
      <c r="U193" s="315" t="str">
        <f t="shared" si="142"/>
        <v>Fur/Feathers</v>
      </c>
      <c r="V193" s="315" t="str">
        <f t="shared" si="143"/>
        <v>Fur/Feathers</v>
      </c>
      <c r="W193" s="313" t="s">
        <v>355</v>
      </c>
      <c r="X193" s="313" t="s">
        <v>398</v>
      </c>
      <c r="Y193" s="313"/>
      <c r="Z193" s="313"/>
      <c r="AA193" s="313"/>
      <c r="AB193" s="313"/>
      <c r="AC193" s="313"/>
      <c r="AD193" s="315">
        <f t="shared" si="103"/>
        <v>5</v>
      </c>
      <c r="AE193" s="315">
        <f t="shared" si="144"/>
        <v>5</v>
      </c>
      <c r="AF193" s="313"/>
      <c r="AG193" s="313"/>
      <c r="AH193" s="313"/>
      <c r="AI193" s="313"/>
      <c r="AJ193" s="313"/>
      <c r="AK193" s="313"/>
      <c r="AL193" s="313"/>
      <c r="AM193" s="313"/>
      <c r="AN193" s="313"/>
      <c r="AO193" s="313"/>
      <c r="AP193" s="313"/>
      <c r="AQ193" s="313"/>
      <c r="AR193" s="313"/>
      <c r="AS193" s="313"/>
      <c r="AT193" s="313"/>
      <c r="AU193" s="313"/>
      <c r="AV193" s="313"/>
      <c r="AX193" s="315">
        <f t="shared" si="145"/>
        <v>180</v>
      </c>
      <c r="AY193" s="315" t="str">
        <f t="shared" si="146"/>
        <v>Yes</v>
      </c>
      <c r="AZ193" s="313" t="s">
        <v>914</v>
      </c>
      <c r="BA193" s="313" t="s">
        <v>863</v>
      </c>
      <c r="BB193" s="313" t="s">
        <v>730</v>
      </c>
      <c r="BC193" s="313" t="s">
        <v>399</v>
      </c>
      <c r="BD193" s="315" t="s">
        <v>365</v>
      </c>
      <c r="BE193" s="313" t="s">
        <v>366</v>
      </c>
      <c r="BF193" s="315">
        <v>6</v>
      </c>
      <c r="BG193" s="313" t="s">
        <v>396</v>
      </c>
      <c r="BH193" s="313">
        <v>20</v>
      </c>
      <c r="BI193" s="313">
        <v>180</v>
      </c>
      <c r="BJ193" s="313" t="s">
        <v>403</v>
      </c>
      <c r="BK193" s="313">
        <v>-4</v>
      </c>
      <c r="BL193" s="313">
        <v>1</v>
      </c>
      <c r="BM193" s="313">
        <v>3</v>
      </c>
      <c r="BN193" s="313">
        <v>1</v>
      </c>
      <c r="BO193" s="313">
        <v>0</v>
      </c>
      <c r="BP193" s="313" t="s">
        <v>367</v>
      </c>
    </row>
    <row r="194" spans="1:68">
      <c r="A194" s="313" t="s">
        <v>862</v>
      </c>
      <c r="B194" s="315">
        <f t="shared" si="133"/>
        <v>1</v>
      </c>
      <c r="C194" s="313" t="str">
        <f t="shared" si="134"/>
        <v>Carnivore</v>
      </c>
      <c r="D194" s="313" t="str">
        <f t="shared" si="135"/>
        <v>Dangerous</v>
      </c>
      <c r="E194" s="315">
        <v>0</v>
      </c>
      <c r="F194" s="315">
        <v>0</v>
      </c>
      <c r="G194" s="315">
        <v>0</v>
      </c>
      <c r="H194" s="315">
        <v>0</v>
      </c>
      <c r="I194" s="315">
        <v>0</v>
      </c>
      <c r="J194" s="315">
        <v>0</v>
      </c>
      <c r="K194" s="315">
        <v>0</v>
      </c>
      <c r="L194" s="315">
        <v>0</v>
      </c>
      <c r="M194" s="315">
        <v>15</v>
      </c>
      <c r="N194" s="315">
        <v>0</v>
      </c>
      <c r="O194" s="315">
        <f t="shared" si="136"/>
        <v>7</v>
      </c>
      <c r="P194" s="315">
        <f t="shared" si="137"/>
        <v>-5</v>
      </c>
      <c r="Q194" s="315" t="str">
        <f t="shared" si="138"/>
        <v>Fur/Feathers</v>
      </c>
      <c r="R194" s="315" t="str">
        <f t="shared" si="139"/>
        <v>Fur/Feathers</v>
      </c>
      <c r="S194" s="315" t="str">
        <f t="shared" si="140"/>
        <v>Fur/Feathers</v>
      </c>
      <c r="T194" s="315" t="str">
        <f t="shared" si="141"/>
        <v>Fur/Feathers</v>
      </c>
      <c r="U194" s="315" t="str">
        <f t="shared" si="142"/>
        <v>Fur/Feathers</v>
      </c>
      <c r="V194" s="315" t="str">
        <f t="shared" si="143"/>
        <v>Fur/Feathers</v>
      </c>
      <c r="W194" s="313" t="s">
        <v>351</v>
      </c>
      <c r="X194" s="313" t="s">
        <v>352</v>
      </c>
      <c r="Y194" s="313" t="s">
        <v>353</v>
      </c>
      <c r="Z194" s="313"/>
      <c r="AA194" s="313"/>
      <c r="AB194" s="313"/>
      <c r="AC194" s="313"/>
      <c r="AD194" s="315">
        <f t="shared" ref="AD194:AD198" si="147">IF(BG194="Formidable",20,IF(BG194="Easy",15,IF(BG194="Routine",10,IF(BG194="Difficult",5))))</f>
        <v>15</v>
      </c>
      <c r="AE194" s="315">
        <f t="shared" si="144"/>
        <v>15</v>
      </c>
      <c r="AF194" s="313"/>
      <c r="AG194" s="313"/>
      <c r="AH194" s="313"/>
      <c r="AI194" s="313"/>
      <c r="AJ194" s="313"/>
      <c r="AK194" s="313"/>
      <c r="AL194" s="313"/>
      <c r="AM194" s="313"/>
      <c r="AN194" s="313"/>
      <c r="AO194" s="313"/>
      <c r="AP194" s="313"/>
      <c r="AQ194" s="313"/>
      <c r="AR194" s="313"/>
      <c r="AS194" s="313"/>
      <c r="AT194" s="313"/>
      <c r="AU194" s="313"/>
      <c r="AV194" s="313"/>
      <c r="AX194" s="315">
        <f t="shared" si="145"/>
        <v>80</v>
      </c>
      <c r="AY194" s="315">
        <f t="shared" si="146"/>
        <v>0</v>
      </c>
      <c r="AZ194" s="313" t="s">
        <v>914</v>
      </c>
      <c r="BA194" s="313" t="s">
        <v>863</v>
      </c>
      <c r="BB194" s="313" t="s">
        <v>862</v>
      </c>
      <c r="BC194" s="313" t="s">
        <v>399</v>
      </c>
      <c r="BD194" s="315">
        <v>1</v>
      </c>
      <c r="BE194" s="313" t="s">
        <v>391</v>
      </c>
      <c r="BF194" s="315">
        <v>7</v>
      </c>
      <c r="BG194" s="313" t="s">
        <v>402</v>
      </c>
      <c r="BH194" s="313">
        <v>10</v>
      </c>
      <c r="BI194" s="313">
        <v>80</v>
      </c>
      <c r="BJ194" s="313" t="s">
        <v>403</v>
      </c>
      <c r="BK194" s="313">
        <v>-4</v>
      </c>
      <c r="BL194" s="313">
        <v>1</v>
      </c>
      <c r="BM194" s="313">
        <v>3</v>
      </c>
      <c r="BN194" s="313">
        <v>1</v>
      </c>
      <c r="BO194" s="313">
        <v>-6</v>
      </c>
      <c r="BP194" s="313"/>
    </row>
    <row r="195" spans="1:68">
      <c r="A195" s="313" t="s">
        <v>2408</v>
      </c>
      <c r="B195" s="315">
        <f t="shared" si="133"/>
        <v>0</v>
      </c>
      <c r="C195" s="313" t="str">
        <f t="shared" si="134"/>
        <v>No Stats</v>
      </c>
      <c r="D195" s="313">
        <f t="shared" si="135"/>
        <v>0</v>
      </c>
      <c r="E195" s="315">
        <v>0</v>
      </c>
      <c r="F195" s="315">
        <v>0</v>
      </c>
      <c r="G195" s="315">
        <v>0</v>
      </c>
      <c r="H195" s="315">
        <v>0</v>
      </c>
      <c r="I195" s="315">
        <v>0</v>
      </c>
      <c r="J195" s="315">
        <v>0</v>
      </c>
      <c r="K195" s="315">
        <v>0</v>
      </c>
      <c r="L195" s="315">
        <v>0</v>
      </c>
      <c r="M195" s="315">
        <v>15</v>
      </c>
      <c r="N195" s="315">
        <v>0</v>
      </c>
      <c r="O195" s="315">
        <f t="shared" si="136"/>
        <v>0</v>
      </c>
      <c r="P195" s="315" t="e">
        <f t="shared" si="137"/>
        <v>#N/A</v>
      </c>
      <c r="Q195" s="315">
        <f t="shared" si="138"/>
        <v>0</v>
      </c>
      <c r="R195" s="315">
        <f t="shared" si="139"/>
        <v>0</v>
      </c>
      <c r="S195" s="315">
        <f t="shared" si="140"/>
        <v>0</v>
      </c>
      <c r="T195" s="315">
        <f t="shared" si="141"/>
        <v>0</v>
      </c>
      <c r="U195" s="315">
        <f t="shared" si="142"/>
        <v>0</v>
      </c>
      <c r="V195" s="315">
        <f t="shared" si="143"/>
        <v>0</v>
      </c>
      <c r="W195" s="313" t="s">
        <v>354</v>
      </c>
      <c r="X195" s="313"/>
      <c r="Y195" s="313"/>
      <c r="Z195" s="313"/>
      <c r="AA195" s="313"/>
      <c r="AB195" s="313"/>
      <c r="AC195" s="313"/>
      <c r="AD195" s="315" t="b">
        <f t="shared" si="147"/>
        <v>0</v>
      </c>
      <c r="AE195" s="315" t="b">
        <f t="shared" si="144"/>
        <v>0</v>
      </c>
      <c r="AF195" s="313"/>
      <c r="AG195" s="313"/>
      <c r="AH195" s="313"/>
      <c r="AI195" s="313"/>
      <c r="AJ195" s="313"/>
      <c r="AK195" s="313"/>
      <c r="AL195" s="313"/>
      <c r="AM195" s="313"/>
      <c r="AN195" s="313"/>
      <c r="AO195" s="313"/>
      <c r="AP195" s="313"/>
      <c r="AQ195" s="313"/>
      <c r="AR195" s="313"/>
      <c r="AS195" s="313"/>
      <c r="AT195" s="313"/>
      <c r="AU195" s="313"/>
      <c r="AV195" s="313"/>
      <c r="AX195" s="315">
        <f t="shared" si="145"/>
        <v>0</v>
      </c>
      <c r="AY195" s="315">
        <f t="shared" si="146"/>
        <v>0</v>
      </c>
      <c r="AZ195" s="313" t="s">
        <v>2245</v>
      </c>
      <c r="BA195" s="313" t="s">
        <v>2407</v>
      </c>
      <c r="BB195" s="313" t="s">
        <v>2408</v>
      </c>
      <c r="BC195" s="313" t="s">
        <v>417</v>
      </c>
      <c r="BE195" s="313"/>
      <c r="BG195" s="313"/>
      <c r="BH195" s="313"/>
      <c r="BI195" s="313"/>
      <c r="BJ195" s="313"/>
      <c r="BK195" s="313"/>
      <c r="BL195" s="313"/>
      <c r="BM195" s="313"/>
      <c r="BN195" s="313"/>
      <c r="BO195" s="313"/>
      <c r="BP195" s="313"/>
    </row>
    <row r="196" spans="1:68">
      <c r="A196" s="313" t="s">
        <v>2258</v>
      </c>
      <c r="B196" s="315">
        <f t="shared" si="133"/>
        <v>0</v>
      </c>
      <c r="C196" s="313" t="str">
        <f t="shared" si="134"/>
        <v>No Stats</v>
      </c>
      <c r="D196" s="313">
        <f t="shared" si="135"/>
        <v>0</v>
      </c>
      <c r="E196" s="315">
        <v>0</v>
      </c>
      <c r="F196" s="315">
        <v>0</v>
      </c>
      <c r="G196" s="315">
        <v>0</v>
      </c>
      <c r="H196" s="315">
        <v>0</v>
      </c>
      <c r="I196" s="315">
        <v>0</v>
      </c>
      <c r="J196" s="315">
        <v>0</v>
      </c>
      <c r="K196" s="315">
        <v>0</v>
      </c>
      <c r="L196" s="315">
        <v>0</v>
      </c>
      <c r="M196" s="315">
        <v>15</v>
      </c>
      <c r="N196" s="315">
        <v>0</v>
      </c>
      <c r="O196" s="315">
        <f t="shared" si="136"/>
        <v>0</v>
      </c>
      <c r="P196" s="315" t="e">
        <f t="shared" si="137"/>
        <v>#N/A</v>
      </c>
      <c r="Q196" s="315">
        <f t="shared" si="138"/>
        <v>0</v>
      </c>
      <c r="R196" s="315">
        <f t="shared" si="139"/>
        <v>0</v>
      </c>
      <c r="S196" s="315">
        <f t="shared" si="140"/>
        <v>0</v>
      </c>
      <c r="T196" s="315">
        <f t="shared" si="141"/>
        <v>0</v>
      </c>
      <c r="U196" s="315">
        <f t="shared" si="142"/>
        <v>0</v>
      </c>
      <c r="V196" s="315">
        <f t="shared" si="143"/>
        <v>0</v>
      </c>
      <c r="W196" s="313" t="s">
        <v>349</v>
      </c>
      <c r="X196" s="313"/>
      <c r="Y196" s="313"/>
      <c r="Z196" s="313"/>
      <c r="AA196" s="313"/>
      <c r="AB196" s="313"/>
      <c r="AC196" s="313"/>
      <c r="AD196" s="315" t="b">
        <f t="shared" si="147"/>
        <v>0</v>
      </c>
      <c r="AE196" s="315" t="b">
        <f t="shared" si="144"/>
        <v>0</v>
      </c>
      <c r="AF196" s="313"/>
      <c r="AG196" s="313"/>
      <c r="AH196" s="313"/>
      <c r="AI196" s="313"/>
      <c r="AJ196" s="313"/>
      <c r="AK196" s="313"/>
      <c r="AL196" s="313"/>
      <c r="AM196" s="313"/>
      <c r="AN196" s="313"/>
      <c r="AO196" s="313"/>
      <c r="AP196" s="313"/>
      <c r="AQ196" s="313"/>
      <c r="AR196" s="313"/>
      <c r="AS196" s="313"/>
      <c r="AT196" s="313"/>
      <c r="AU196" s="313"/>
      <c r="AV196" s="313"/>
      <c r="AX196" s="315">
        <f t="shared" si="145"/>
        <v>0</v>
      </c>
      <c r="AY196" s="315">
        <f t="shared" si="146"/>
        <v>0</v>
      </c>
      <c r="AZ196" s="313" t="s">
        <v>2245</v>
      </c>
      <c r="BA196" s="313" t="s">
        <v>2407</v>
      </c>
      <c r="BB196" s="313" t="s">
        <v>2258</v>
      </c>
      <c r="BC196" s="313" t="s">
        <v>417</v>
      </c>
      <c r="BE196" s="313"/>
      <c r="BG196" s="313"/>
      <c r="BH196" s="313"/>
      <c r="BI196" s="313"/>
      <c r="BJ196" s="313"/>
      <c r="BK196" s="313"/>
      <c r="BL196" s="313"/>
      <c r="BM196" s="313"/>
      <c r="BN196" s="313"/>
      <c r="BO196" s="313"/>
      <c r="BP196" s="313"/>
    </row>
    <row r="197" spans="1:68">
      <c r="A197" s="313" t="s">
        <v>2292</v>
      </c>
      <c r="B197" s="315">
        <f t="shared" si="133"/>
        <v>0</v>
      </c>
      <c r="C197" s="313" t="str">
        <f t="shared" si="134"/>
        <v>No Stats</v>
      </c>
      <c r="D197" s="313">
        <f t="shared" si="135"/>
        <v>0</v>
      </c>
      <c r="E197" s="315">
        <v>0</v>
      </c>
      <c r="F197" s="315">
        <v>0</v>
      </c>
      <c r="G197" s="315">
        <v>0</v>
      </c>
      <c r="H197" s="315">
        <v>0</v>
      </c>
      <c r="I197" s="315">
        <v>0</v>
      </c>
      <c r="J197" s="315">
        <v>0</v>
      </c>
      <c r="K197" s="315">
        <v>0</v>
      </c>
      <c r="L197" s="315">
        <v>0</v>
      </c>
      <c r="M197" s="315">
        <v>15</v>
      </c>
      <c r="N197" s="315">
        <v>0</v>
      </c>
      <c r="O197" s="315">
        <f t="shared" si="136"/>
        <v>0</v>
      </c>
      <c r="P197" s="315" t="e">
        <f t="shared" si="137"/>
        <v>#N/A</v>
      </c>
      <c r="Q197" s="315">
        <f t="shared" si="138"/>
        <v>0</v>
      </c>
      <c r="R197" s="315">
        <f t="shared" si="139"/>
        <v>0</v>
      </c>
      <c r="S197" s="315">
        <f t="shared" si="140"/>
        <v>0</v>
      </c>
      <c r="T197" s="315">
        <f t="shared" si="141"/>
        <v>0</v>
      </c>
      <c r="U197" s="315">
        <f t="shared" si="142"/>
        <v>0</v>
      </c>
      <c r="V197" s="315">
        <f t="shared" si="143"/>
        <v>0</v>
      </c>
      <c r="W197" s="313" t="s">
        <v>350</v>
      </c>
      <c r="X197" s="313"/>
      <c r="Y197" s="313"/>
      <c r="Z197" s="313"/>
      <c r="AA197" s="313"/>
      <c r="AB197" s="313"/>
      <c r="AC197" s="313"/>
      <c r="AD197" s="315" t="b">
        <f t="shared" si="147"/>
        <v>0</v>
      </c>
      <c r="AE197" s="315" t="b">
        <f t="shared" si="144"/>
        <v>0</v>
      </c>
      <c r="AF197" s="313"/>
      <c r="AG197" s="313"/>
      <c r="AH197" s="313"/>
      <c r="AI197" s="313"/>
      <c r="AJ197" s="313"/>
      <c r="AK197" s="313"/>
      <c r="AL197" s="313"/>
      <c r="AM197" s="313"/>
      <c r="AN197" s="313"/>
      <c r="AO197" s="313"/>
      <c r="AP197" s="313"/>
      <c r="AQ197" s="313"/>
      <c r="AR197" s="313"/>
      <c r="AS197" s="313"/>
      <c r="AT197" s="313"/>
      <c r="AU197" s="313"/>
      <c r="AV197" s="313"/>
      <c r="AX197" s="315">
        <f t="shared" si="145"/>
        <v>0</v>
      </c>
      <c r="AY197" s="315">
        <f t="shared" si="146"/>
        <v>0</v>
      </c>
      <c r="AZ197" s="313" t="s">
        <v>2245</v>
      </c>
      <c r="BA197" s="313" t="s">
        <v>2149</v>
      </c>
      <c r="BB197" s="313" t="s">
        <v>2292</v>
      </c>
      <c r="BC197" s="313" t="s">
        <v>417</v>
      </c>
      <c r="BE197" s="313"/>
      <c r="BG197" s="313"/>
      <c r="BH197" s="313"/>
      <c r="BI197" s="313"/>
      <c r="BJ197" s="313"/>
      <c r="BK197" s="313"/>
      <c r="BL197" s="313"/>
      <c r="BM197" s="313"/>
      <c r="BN197" s="313"/>
      <c r="BO197" s="313"/>
      <c r="BP197" s="313"/>
    </row>
    <row r="198" spans="1:68">
      <c r="A198" s="313" t="s">
        <v>2148</v>
      </c>
      <c r="B198" s="315">
        <f t="shared" si="133"/>
        <v>0</v>
      </c>
      <c r="C198" s="313" t="str">
        <f t="shared" si="134"/>
        <v>No Stats</v>
      </c>
      <c r="D198" s="313">
        <f t="shared" si="135"/>
        <v>0</v>
      </c>
      <c r="E198" s="315">
        <v>0</v>
      </c>
      <c r="F198" s="315">
        <v>0</v>
      </c>
      <c r="G198" s="315">
        <v>0</v>
      </c>
      <c r="H198" s="315">
        <v>0</v>
      </c>
      <c r="I198" s="315">
        <v>0</v>
      </c>
      <c r="J198" s="315">
        <v>0</v>
      </c>
      <c r="K198" s="315">
        <v>0</v>
      </c>
      <c r="L198" s="315">
        <v>0</v>
      </c>
      <c r="M198" s="315">
        <v>15</v>
      </c>
      <c r="N198" s="315">
        <v>0</v>
      </c>
      <c r="O198" s="315">
        <f t="shared" si="136"/>
        <v>0</v>
      </c>
      <c r="P198" s="315" t="e">
        <f t="shared" si="137"/>
        <v>#N/A</v>
      </c>
      <c r="Q198" s="315">
        <f t="shared" si="138"/>
        <v>0</v>
      </c>
      <c r="R198" s="315">
        <f t="shared" si="139"/>
        <v>0</v>
      </c>
      <c r="S198" s="315">
        <f t="shared" si="140"/>
        <v>0</v>
      </c>
      <c r="T198" s="315">
        <f t="shared" si="141"/>
        <v>0</v>
      </c>
      <c r="U198" s="315">
        <f t="shared" si="142"/>
        <v>0</v>
      </c>
      <c r="V198" s="315">
        <f t="shared" si="143"/>
        <v>0</v>
      </c>
      <c r="W198" s="313" t="s">
        <v>318</v>
      </c>
      <c r="X198" s="313"/>
      <c r="Y198" s="313"/>
      <c r="Z198" s="313"/>
      <c r="AA198" s="313"/>
      <c r="AB198" s="313"/>
      <c r="AC198" s="313"/>
      <c r="AD198" s="315" t="b">
        <f t="shared" si="147"/>
        <v>0</v>
      </c>
      <c r="AE198" s="315" t="b">
        <f t="shared" si="144"/>
        <v>0</v>
      </c>
      <c r="AF198" s="313"/>
      <c r="AG198" s="313"/>
      <c r="AH198" s="313"/>
      <c r="AI198" s="313"/>
      <c r="AJ198" s="313"/>
      <c r="AK198" s="313"/>
      <c r="AL198" s="313"/>
      <c r="AM198" s="313"/>
      <c r="AN198" s="313"/>
      <c r="AO198" s="313"/>
      <c r="AP198" s="313"/>
      <c r="AQ198" s="313"/>
      <c r="AR198" s="313"/>
      <c r="AS198" s="313"/>
      <c r="AT198" s="313"/>
      <c r="AU198" s="313"/>
      <c r="AV198" s="313"/>
      <c r="AX198" s="315">
        <f t="shared" si="145"/>
        <v>0</v>
      </c>
      <c r="AY198" s="315">
        <f t="shared" si="146"/>
        <v>0</v>
      </c>
      <c r="AZ198" s="313" t="s">
        <v>2245</v>
      </c>
      <c r="BA198" s="313" t="s">
        <v>2149</v>
      </c>
      <c r="BB198" s="313" t="s">
        <v>2148</v>
      </c>
      <c r="BC198" s="313" t="s">
        <v>417</v>
      </c>
      <c r="BE198" s="313"/>
      <c r="BG198" s="313"/>
      <c r="BH198" s="313"/>
      <c r="BI198" s="313"/>
      <c r="BJ198" s="313"/>
      <c r="BK198" s="313"/>
      <c r="BL198" s="313"/>
      <c r="BM198" s="313"/>
      <c r="BN198" s="313"/>
      <c r="BO198" s="313"/>
      <c r="BP198" s="313"/>
    </row>
    <row r="199" spans="1:68">
      <c r="A199" s="88"/>
      <c r="B199" s="5"/>
      <c r="C199" s="88"/>
      <c r="D199" s="88"/>
      <c r="E199" s="148"/>
      <c r="F199" s="148"/>
      <c r="G199" s="148"/>
      <c r="H199" s="148"/>
      <c r="I199" s="148"/>
      <c r="J199" s="148"/>
      <c r="K199" s="148"/>
      <c r="L199" s="148"/>
      <c r="M199" s="148"/>
      <c r="N199" s="148"/>
      <c r="O199" s="5"/>
      <c r="P199" s="148"/>
      <c r="Q199" s="148"/>
      <c r="R199" s="148"/>
      <c r="S199" s="148"/>
      <c r="T199" s="148"/>
      <c r="U199" s="148"/>
      <c r="V199" s="148"/>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row>
    <row r="309" spans="1:51">
      <c r="A309" s="88"/>
      <c r="B309" s="5"/>
      <c r="C309" s="88"/>
      <c r="D309" s="88"/>
      <c r="E309" s="148"/>
      <c r="F309" s="148"/>
      <c r="G309" s="148"/>
      <c r="H309" s="148"/>
      <c r="I309" s="148"/>
      <c r="J309" s="148"/>
      <c r="K309" s="148"/>
      <c r="L309" s="148"/>
      <c r="M309" s="148"/>
      <c r="N309" s="148"/>
      <c r="O309" s="5"/>
      <c r="P309" s="148"/>
      <c r="Q309" s="148"/>
      <c r="R309" s="148"/>
      <c r="S309" s="148"/>
      <c r="T309" s="148"/>
      <c r="U309" s="148"/>
      <c r="V309" s="148"/>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row>
  </sheetData>
  <sheetCalcPr fullCalcOnLoad="1"/>
  <sortState ref="A2:BQ200">
    <sortCondition ref="BB3:BB200"/>
    <sortCondition ref="A3:A200"/>
  </sortState>
  <phoneticPr fontId="6" type="noConversion"/>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P52"/>
  <sheetViews>
    <sheetView topLeftCell="A2" workbookViewId="0">
      <selection activeCell="V19" sqref="V19"/>
    </sheetView>
  </sheetViews>
  <sheetFormatPr baseColWidth="10" defaultColWidth="11" defaultRowHeight="13"/>
  <cols>
    <col min="2" max="2" width="11" style="90"/>
    <col min="43" max="43" width="7.83203125" customWidth="1"/>
    <col min="44" max="53" width="8.6640625" customWidth="1"/>
    <col min="61" max="61" width="13.1640625" customWidth="1"/>
  </cols>
  <sheetData>
    <row r="1" spans="1:68">
      <c r="A1" s="88" t="s">
        <v>976</v>
      </c>
      <c r="B1" s="5" t="s">
        <v>1398</v>
      </c>
      <c r="C1" s="88" t="s">
        <v>2103</v>
      </c>
      <c r="D1" s="88" t="s">
        <v>1099</v>
      </c>
      <c r="E1" s="148" t="s">
        <v>2071</v>
      </c>
      <c r="F1" s="148" t="s">
        <v>2350</v>
      </c>
      <c r="G1" s="148" t="s">
        <v>2351</v>
      </c>
      <c r="H1" s="148" t="s">
        <v>1954</v>
      </c>
      <c r="I1" s="148" t="s">
        <v>1955</v>
      </c>
      <c r="J1" s="148" t="s">
        <v>1956</v>
      </c>
      <c r="K1" s="148" t="s">
        <v>1402</v>
      </c>
      <c r="L1" s="148" t="s">
        <v>1278</v>
      </c>
      <c r="M1" s="148" t="s">
        <v>801</v>
      </c>
      <c r="N1" s="148" t="s">
        <v>2059</v>
      </c>
      <c r="O1" s="5" t="s">
        <v>1768</v>
      </c>
      <c r="P1" s="148" t="s">
        <v>2105</v>
      </c>
      <c r="Q1" s="148" t="s">
        <v>1125</v>
      </c>
      <c r="R1" s="148" t="s">
        <v>1126</v>
      </c>
      <c r="S1" s="148" t="s">
        <v>1127</v>
      </c>
      <c r="T1" s="148" t="s">
        <v>1128</v>
      </c>
      <c r="U1" s="148" t="s">
        <v>1129</v>
      </c>
      <c r="V1" s="148" t="s">
        <v>1130</v>
      </c>
      <c r="W1" s="5" t="s">
        <v>2102</v>
      </c>
      <c r="X1" s="5" t="s">
        <v>1868</v>
      </c>
      <c r="Y1" s="5" t="s">
        <v>1869</v>
      </c>
      <c r="Z1" s="5" t="s">
        <v>1870</v>
      </c>
      <c r="AA1" s="5" t="s">
        <v>1860</v>
      </c>
      <c r="AB1" s="5" t="s">
        <v>2215</v>
      </c>
      <c r="AC1" s="5" t="s">
        <v>2216</v>
      </c>
      <c r="AD1" s="5" t="s">
        <v>2348</v>
      </c>
      <c r="AE1" s="5" t="s">
        <v>1393</v>
      </c>
      <c r="AF1" s="5" t="s">
        <v>2164</v>
      </c>
      <c r="AG1" s="5" t="s">
        <v>2165</v>
      </c>
      <c r="AH1" s="5" t="s">
        <v>2166</v>
      </c>
      <c r="AI1" s="5" t="s">
        <v>2167</v>
      </c>
      <c r="AJ1" s="5" t="s">
        <v>2168</v>
      </c>
      <c r="AK1" s="5" t="s">
        <v>1728</v>
      </c>
      <c r="AL1" s="5" t="s">
        <v>1729</v>
      </c>
      <c r="AM1" s="5" t="s">
        <v>1730</v>
      </c>
      <c r="AN1" s="5" t="s">
        <v>1947</v>
      </c>
      <c r="AO1" s="5" t="s">
        <v>1403</v>
      </c>
      <c r="AP1" s="5" t="s">
        <v>1948</v>
      </c>
      <c r="AQ1" s="5" t="s">
        <v>1403</v>
      </c>
      <c r="AR1" s="5" t="s">
        <v>1985</v>
      </c>
      <c r="AS1" s="5" t="s">
        <v>1403</v>
      </c>
      <c r="AT1" s="5" t="s">
        <v>1986</v>
      </c>
      <c r="AU1" s="5" t="s">
        <v>1403</v>
      </c>
      <c r="AV1" s="5" t="s">
        <v>1987</v>
      </c>
      <c r="AW1" s="5" t="s">
        <v>1403</v>
      </c>
      <c r="AX1" s="88" t="s">
        <v>1965</v>
      </c>
      <c r="AY1" s="5" t="s">
        <v>1707</v>
      </c>
      <c r="AZ1" s="5"/>
      <c r="BA1" s="88" t="s">
        <v>2103</v>
      </c>
      <c r="BB1" s="88" t="s">
        <v>1398</v>
      </c>
      <c r="BC1" s="88" t="s">
        <v>2103</v>
      </c>
      <c r="BD1" s="88" t="s">
        <v>2091</v>
      </c>
      <c r="BE1" s="88" t="s">
        <v>2347</v>
      </c>
      <c r="BF1" s="88" t="s">
        <v>1768</v>
      </c>
      <c r="BG1" s="88" t="s">
        <v>1775</v>
      </c>
      <c r="BH1" s="88" t="s">
        <v>2262</v>
      </c>
      <c r="BI1" s="88" t="s">
        <v>1965</v>
      </c>
      <c r="BJ1" s="88" t="s">
        <v>2348</v>
      </c>
      <c r="BK1" s="88" t="s">
        <v>1393</v>
      </c>
      <c r="BL1" s="88" t="s">
        <v>1394</v>
      </c>
      <c r="BM1" s="88" t="s">
        <v>1395</v>
      </c>
      <c r="BN1" s="88" t="s">
        <v>1396</v>
      </c>
      <c r="BO1" s="88" t="s">
        <v>1542</v>
      </c>
      <c r="BP1" s="88" t="s">
        <v>1175</v>
      </c>
    </row>
    <row r="2" spans="1:68">
      <c r="A2" t="s">
        <v>2089</v>
      </c>
      <c r="B2" s="90" t="s">
        <v>2343</v>
      </c>
      <c r="C2" t="s">
        <v>2277</v>
      </c>
      <c r="D2" t="s">
        <v>1098</v>
      </c>
      <c r="E2" s="90">
        <f>P2</f>
        <v>-2</v>
      </c>
      <c r="F2" s="90">
        <v>0</v>
      </c>
      <c r="G2" s="90">
        <v>2</v>
      </c>
      <c r="H2" s="90">
        <v>0</v>
      </c>
      <c r="I2" s="90">
        <v>0</v>
      </c>
      <c r="J2" s="90">
        <v>0</v>
      </c>
      <c r="K2" s="90">
        <v>0</v>
      </c>
      <c r="L2" s="90">
        <v>0</v>
      </c>
      <c r="M2" s="90">
        <f>IF(B2="Carnivore",15,10)</f>
        <v>10</v>
      </c>
      <c r="N2" s="90">
        <f>IF(C2="Carnivore",15,10)</f>
        <v>10</v>
      </c>
      <c r="O2" s="90">
        <v>2</v>
      </c>
      <c r="P2" s="90">
        <v>-2</v>
      </c>
      <c r="Q2" s="90" t="s">
        <v>1943</v>
      </c>
      <c r="R2" s="90" t="s">
        <v>1943</v>
      </c>
      <c r="S2" s="90" t="s">
        <v>1943</v>
      </c>
      <c r="T2" s="90" t="s">
        <v>1943</v>
      </c>
      <c r="U2" s="90" t="s">
        <v>1943</v>
      </c>
      <c r="V2" s="90"/>
      <c r="W2" s="168" t="s">
        <v>1812</v>
      </c>
      <c r="X2" s="90" t="s">
        <v>2278</v>
      </c>
      <c r="Y2" s="90" t="s">
        <v>2278</v>
      </c>
      <c r="Z2" s="90" t="s">
        <v>1514</v>
      </c>
      <c r="AA2" s="90" t="s">
        <v>1977</v>
      </c>
      <c r="AB2" s="90" t="s">
        <v>1977</v>
      </c>
      <c r="AC2" s="90" t="s">
        <v>1977</v>
      </c>
      <c r="AD2" s="99">
        <v>7</v>
      </c>
      <c r="AE2" s="99">
        <v>6.5</v>
      </c>
      <c r="AF2" s="99" t="s">
        <v>1977</v>
      </c>
      <c r="AG2" s="99" t="s">
        <v>1977</v>
      </c>
      <c r="AH2" s="99" t="s">
        <v>1977</v>
      </c>
      <c r="AI2" s="99" t="s">
        <v>1977</v>
      </c>
      <c r="AJ2" s="99" t="s">
        <v>1977</v>
      </c>
      <c r="AK2" s="99" t="s">
        <v>1977</v>
      </c>
      <c r="AL2" s="99" t="s">
        <v>1977</v>
      </c>
      <c r="AM2" s="99" t="s">
        <v>1977</v>
      </c>
      <c r="AN2" s="168" t="s">
        <v>1977</v>
      </c>
      <c r="AO2" t="s">
        <v>1977</v>
      </c>
      <c r="AP2" t="s">
        <v>1977</v>
      </c>
      <c r="AQ2" t="s">
        <v>1977</v>
      </c>
      <c r="AR2" t="s">
        <v>1977</v>
      </c>
      <c r="AS2" t="s">
        <v>1977</v>
      </c>
      <c r="AT2" t="s">
        <v>1977</v>
      </c>
      <c r="AU2" t="s">
        <v>1977</v>
      </c>
      <c r="AV2" t="s">
        <v>1977</v>
      </c>
      <c r="AW2" t="s">
        <v>1977</v>
      </c>
      <c r="AX2">
        <v>6</v>
      </c>
      <c r="AY2" s="90"/>
      <c r="BA2" t="s">
        <v>2089</v>
      </c>
      <c r="BB2" t="s">
        <v>2343</v>
      </c>
      <c r="BC2" t="s">
        <v>2277</v>
      </c>
      <c r="BD2" t="s">
        <v>2003</v>
      </c>
      <c r="BE2" t="s">
        <v>2090</v>
      </c>
      <c r="BF2">
        <v>2</v>
      </c>
      <c r="BG2" t="s">
        <v>1724</v>
      </c>
      <c r="BH2" t="s">
        <v>2171</v>
      </c>
      <c r="BI2" t="s">
        <v>1635</v>
      </c>
      <c r="BJ2">
        <v>14</v>
      </c>
      <c r="BK2">
        <v>13</v>
      </c>
      <c r="BL2">
        <v>-2</v>
      </c>
      <c r="BM2">
        <v>-3</v>
      </c>
    </row>
    <row r="3" spans="1:68">
      <c r="A3" t="s">
        <v>2172</v>
      </c>
      <c r="B3" s="90">
        <v>1</v>
      </c>
      <c r="C3" t="s">
        <v>2277</v>
      </c>
      <c r="D3" t="s">
        <v>2003</v>
      </c>
      <c r="E3" s="90">
        <f>P3</f>
        <v>5</v>
      </c>
      <c r="F3" s="90">
        <v>0</v>
      </c>
      <c r="G3" s="90">
        <v>-2</v>
      </c>
      <c r="H3" s="90">
        <v>0</v>
      </c>
      <c r="I3" s="90">
        <v>0</v>
      </c>
      <c r="J3" s="90">
        <v>0</v>
      </c>
      <c r="K3" s="90">
        <v>0</v>
      </c>
      <c r="L3" s="90">
        <v>0</v>
      </c>
      <c r="M3" s="90">
        <f>IF(B3="Carnivore",15,10)</f>
        <v>10</v>
      </c>
      <c r="N3" s="90">
        <f>IF(C3="Carnivore",15,10)</f>
        <v>10</v>
      </c>
      <c r="O3" s="90">
        <v>-2</v>
      </c>
      <c r="P3" s="90">
        <v>5</v>
      </c>
      <c r="Q3" s="90" t="s">
        <v>1943</v>
      </c>
      <c r="R3" s="90" t="s">
        <v>1943</v>
      </c>
      <c r="S3" s="90" t="s">
        <v>1943</v>
      </c>
      <c r="T3" s="90" t="s">
        <v>1943</v>
      </c>
      <c r="U3" s="90" t="s">
        <v>1943</v>
      </c>
      <c r="V3" s="90"/>
      <c r="W3" s="224" t="s">
        <v>1502</v>
      </c>
      <c r="X3" s="90" t="s">
        <v>1019</v>
      </c>
      <c r="Y3" s="90" t="s">
        <v>1977</v>
      </c>
      <c r="Z3" s="90" t="s">
        <v>1977</v>
      </c>
      <c r="AA3" s="90" t="s">
        <v>1977</v>
      </c>
      <c r="AB3" s="90" t="s">
        <v>1977</v>
      </c>
      <c r="AC3" s="90" t="s">
        <v>1977</v>
      </c>
      <c r="AD3" s="99">
        <v>7</v>
      </c>
      <c r="AE3" s="99">
        <v>8</v>
      </c>
      <c r="AF3" s="99" t="s">
        <v>1977</v>
      </c>
      <c r="AG3" s="99" t="s">
        <v>1977</v>
      </c>
      <c r="AH3" s="99" t="s">
        <v>1977</v>
      </c>
      <c r="AI3" s="99" t="s">
        <v>1977</v>
      </c>
      <c r="AJ3" s="99" t="s">
        <v>1977</v>
      </c>
      <c r="AK3" s="99" t="s">
        <v>1977</v>
      </c>
      <c r="AL3" s="99" t="s">
        <v>1977</v>
      </c>
      <c r="AM3" s="99" t="s">
        <v>1977</v>
      </c>
      <c r="AN3" s="168" t="s">
        <v>1977</v>
      </c>
      <c r="AO3" t="s">
        <v>1977</v>
      </c>
      <c r="AP3" t="s">
        <v>1977</v>
      </c>
      <c r="AQ3" t="s">
        <v>1977</v>
      </c>
      <c r="AR3" t="s">
        <v>1977</v>
      </c>
      <c r="AS3" t="s">
        <v>1977</v>
      </c>
      <c r="AT3" t="s">
        <v>1977</v>
      </c>
      <c r="AU3" t="s">
        <v>1977</v>
      </c>
      <c r="AV3" t="s">
        <v>1977</v>
      </c>
      <c r="AW3" t="s">
        <v>1977</v>
      </c>
      <c r="AX3">
        <v>-4</v>
      </c>
      <c r="AY3" s="90"/>
      <c r="BA3" t="s">
        <v>2172</v>
      </c>
      <c r="BB3">
        <v>1</v>
      </c>
      <c r="BC3" t="s">
        <v>2277</v>
      </c>
      <c r="BD3" t="s">
        <v>1018</v>
      </c>
      <c r="BE3" t="s">
        <v>2090</v>
      </c>
      <c r="BF3">
        <v>-2</v>
      </c>
      <c r="BG3" t="s">
        <v>1019</v>
      </c>
      <c r="BH3" t="s">
        <v>1020</v>
      </c>
      <c r="BI3" t="s">
        <v>1348</v>
      </c>
      <c r="BJ3">
        <v>14</v>
      </c>
      <c r="BK3">
        <v>16</v>
      </c>
      <c r="BL3">
        <v>3</v>
      </c>
      <c r="BM3">
        <v>4</v>
      </c>
    </row>
    <row r="4" spans="1:68">
      <c r="A4" t="s">
        <v>829</v>
      </c>
      <c r="B4" s="90" t="s">
        <v>1215</v>
      </c>
      <c r="C4" t="s">
        <v>1022</v>
      </c>
      <c r="D4" t="s">
        <v>1109</v>
      </c>
      <c r="E4" s="90">
        <v>0</v>
      </c>
      <c r="F4" s="90">
        <v>0</v>
      </c>
      <c r="G4" s="90">
        <v>1</v>
      </c>
      <c r="H4" s="90">
        <v>0</v>
      </c>
      <c r="I4" s="90">
        <v>0</v>
      </c>
      <c r="J4" s="90">
        <v>0</v>
      </c>
      <c r="K4" s="90">
        <v>0</v>
      </c>
      <c r="L4" s="90">
        <v>0</v>
      </c>
      <c r="M4" s="90">
        <v>15</v>
      </c>
      <c r="N4" s="90">
        <v>15</v>
      </c>
      <c r="O4" s="90">
        <v>0</v>
      </c>
      <c r="P4" s="90">
        <v>-1</v>
      </c>
      <c r="Q4" s="7" t="s">
        <v>1511</v>
      </c>
      <c r="R4" s="7" t="s">
        <v>1511</v>
      </c>
      <c r="S4" s="7" t="s">
        <v>1511</v>
      </c>
      <c r="T4" s="7" t="s">
        <v>1511</v>
      </c>
      <c r="U4" s="7" t="s">
        <v>1511</v>
      </c>
      <c r="V4" s="90"/>
      <c r="W4" s="168" t="s">
        <v>1736</v>
      </c>
      <c r="X4" s="90" t="s">
        <v>1608</v>
      </c>
      <c r="Y4" s="90" t="s">
        <v>1608</v>
      </c>
      <c r="Z4" s="90" t="s">
        <v>1514</v>
      </c>
      <c r="AA4" s="90" t="s">
        <v>1977</v>
      </c>
      <c r="AB4" s="90" t="s">
        <v>1977</v>
      </c>
      <c r="AC4" s="90" t="s">
        <v>1977</v>
      </c>
      <c r="AD4" s="99">
        <v>8</v>
      </c>
      <c r="AE4" s="99">
        <v>2</v>
      </c>
      <c r="AF4" s="99" t="s">
        <v>1977</v>
      </c>
      <c r="AG4" s="99" t="s">
        <v>1977</v>
      </c>
      <c r="AH4" s="99" t="s">
        <v>1977</v>
      </c>
      <c r="AI4" s="99" t="s">
        <v>1977</v>
      </c>
      <c r="AJ4" s="99" t="s">
        <v>1977</v>
      </c>
      <c r="AK4" s="99" t="s">
        <v>1977</v>
      </c>
      <c r="AL4" s="99" t="s">
        <v>1736</v>
      </c>
      <c r="AM4" s="99" t="s">
        <v>1977</v>
      </c>
      <c r="AN4" s="99" t="s">
        <v>1977</v>
      </c>
      <c r="AO4" s="99" t="s">
        <v>1977</v>
      </c>
      <c r="AP4" s="99" t="s">
        <v>1977</v>
      </c>
      <c r="AQ4" s="99" t="s">
        <v>1977</v>
      </c>
      <c r="AR4" s="99" t="s">
        <v>1977</v>
      </c>
      <c r="AS4" s="99" t="s">
        <v>1977</v>
      </c>
      <c r="AT4" s="99" t="s">
        <v>1977</v>
      </c>
      <c r="AU4" s="99" t="s">
        <v>1977</v>
      </c>
      <c r="AV4" s="99" t="s">
        <v>1977</v>
      </c>
      <c r="AW4" s="99" t="s">
        <v>1977</v>
      </c>
      <c r="AX4" s="240">
        <v>2</v>
      </c>
      <c r="AY4" s="99" t="s">
        <v>1977</v>
      </c>
    </row>
    <row r="5" spans="1:68">
      <c r="A5" t="s">
        <v>1113</v>
      </c>
      <c r="B5" s="90">
        <v>1</v>
      </c>
      <c r="C5" t="s">
        <v>1022</v>
      </c>
      <c r="D5" t="s">
        <v>1109</v>
      </c>
      <c r="E5" s="90">
        <v>0</v>
      </c>
      <c r="F5" s="90">
        <v>0</v>
      </c>
      <c r="G5" s="90">
        <v>3</v>
      </c>
      <c r="H5" s="90">
        <v>0</v>
      </c>
      <c r="I5" s="90">
        <v>0</v>
      </c>
      <c r="J5" s="90">
        <v>0</v>
      </c>
      <c r="K5" s="90">
        <v>0</v>
      </c>
      <c r="L5" s="90">
        <v>0</v>
      </c>
      <c r="M5" s="90">
        <v>15</v>
      </c>
      <c r="N5" s="90">
        <v>15</v>
      </c>
      <c r="O5" s="90">
        <v>0</v>
      </c>
      <c r="P5" s="90">
        <v>-1</v>
      </c>
      <c r="Q5" s="7" t="s">
        <v>1511</v>
      </c>
      <c r="R5" s="7" t="s">
        <v>1511</v>
      </c>
      <c r="S5" s="7" t="s">
        <v>1511</v>
      </c>
      <c r="T5" s="7" t="s">
        <v>1511</v>
      </c>
      <c r="U5" s="7" t="s">
        <v>1511</v>
      </c>
      <c r="V5" s="90" t="s">
        <v>1943</v>
      </c>
      <c r="W5" s="168" t="s">
        <v>1736</v>
      </c>
      <c r="X5" s="90" t="s">
        <v>1608</v>
      </c>
      <c r="Y5" s="90" t="s">
        <v>1608</v>
      </c>
      <c r="Z5" s="90" t="s">
        <v>1514</v>
      </c>
      <c r="AA5" s="90" t="s">
        <v>1977</v>
      </c>
      <c r="AB5" s="90" t="s">
        <v>1977</v>
      </c>
      <c r="AC5" s="90" t="s">
        <v>1977</v>
      </c>
      <c r="AD5" s="99">
        <v>8</v>
      </c>
      <c r="AE5" s="99">
        <v>2</v>
      </c>
      <c r="AF5" s="99" t="s">
        <v>1977</v>
      </c>
      <c r="AG5" s="99" t="s">
        <v>1977</v>
      </c>
      <c r="AH5" s="99" t="s">
        <v>1977</v>
      </c>
      <c r="AI5" s="99" t="s">
        <v>1977</v>
      </c>
      <c r="AJ5" s="99" t="s">
        <v>1977</v>
      </c>
      <c r="AK5" s="99" t="s">
        <v>1977</v>
      </c>
      <c r="AL5" s="99" t="s">
        <v>1736</v>
      </c>
      <c r="AM5" s="99" t="s">
        <v>1977</v>
      </c>
      <c r="AN5" s="99" t="s">
        <v>1977</v>
      </c>
      <c r="AO5" s="99" t="s">
        <v>1977</v>
      </c>
      <c r="AP5" s="99" t="s">
        <v>1977</v>
      </c>
      <c r="AQ5" s="99" t="s">
        <v>1977</v>
      </c>
      <c r="AR5" s="99" t="s">
        <v>1977</v>
      </c>
      <c r="AS5" s="99" t="s">
        <v>1977</v>
      </c>
      <c r="AT5" s="99" t="s">
        <v>1977</v>
      </c>
      <c r="AU5" s="99" t="s">
        <v>1977</v>
      </c>
      <c r="AV5" s="99" t="s">
        <v>1977</v>
      </c>
      <c r="AW5" s="99" t="s">
        <v>1977</v>
      </c>
      <c r="AX5" s="240">
        <v>3</v>
      </c>
      <c r="AY5" s="242" t="s">
        <v>319</v>
      </c>
    </row>
    <row r="6" spans="1:68">
      <c r="A6" t="s">
        <v>1112</v>
      </c>
      <c r="B6" s="90" t="s">
        <v>1115</v>
      </c>
      <c r="C6" t="s">
        <v>1022</v>
      </c>
      <c r="D6" t="s">
        <v>1109</v>
      </c>
      <c r="E6" s="90">
        <v>0</v>
      </c>
      <c r="F6" s="90">
        <v>0</v>
      </c>
      <c r="G6" s="90">
        <v>2</v>
      </c>
      <c r="H6" s="90">
        <v>0</v>
      </c>
      <c r="I6" s="90">
        <v>0</v>
      </c>
      <c r="J6" s="90">
        <v>0</v>
      </c>
      <c r="K6" s="90">
        <v>0</v>
      </c>
      <c r="L6" s="90">
        <v>0</v>
      </c>
      <c r="M6" s="90">
        <v>15</v>
      </c>
      <c r="N6" s="90">
        <v>15</v>
      </c>
      <c r="O6" s="90">
        <v>0</v>
      </c>
      <c r="P6" s="90">
        <v>-2</v>
      </c>
      <c r="Q6" s="7" t="s">
        <v>1511</v>
      </c>
      <c r="R6" s="7" t="s">
        <v>1511</v>
      </c>
      <c r="S6" s="7" t="s">
        <v>1511</v>
      </c>
      <c r="T6" s="7" t="s">
        <v>1511</v>
      </c>
      <c r="U6" s="7" t="s">
        <v>1511</v>
      </c>
      <c r="V6" s="90"/>
      <c r="W6" s="168" t="s">
        <v>1736</v>
      </c>
      <c r="X6" s="90" t="s">
        <v>1608</v>
      </c>
      <c r="Y6" s="90" t="s">
        <v>1608</v>
      </c>
      <c r="Z6" s="90" t="s">
        <v>1514</v>
      </c>
      <c r="AA6" s="90" t="s">
        <v>1977</v>
      </c>
      <c r="AB6" s="90" t="s">
        <v>1977</v>
      </c>
      <c r="AC6" s="90" t="s">
        <v>1977</v>
      </c>
      <c r="AD6" s="99">
        <v>6</v>
      </c>
      <c r="AE6" s="99">
        <v>1</v>
      </c>
      <c r="AF6" s="99" t="s">
        <v>1977</v>
      </c>
      <c r="AG6" s="99" t="s">
        <v>1977</v>
      </c>
      <c r="AH6" s="99" t="s">
        <v>1977</v>
      </c>
      <c r="AI6" s="99" t="s">
        <v>1977</v>
      </c>
      <c r="AJ6" s="99" t="s">
        <v>1977</v>
      </c>
      <c r="AK6" s="99" t="s">
        <v>1977</v>
      </c>
      <c r="AL6" s="99" t="s">
        <v>1736</v>
      </c>
      <c r="AM6" s="99" t="s">
        <v>1977</v>
      </c>
      <c r="AN6" s="99" t="s">
        <v>1977</v>
      </c>
      <c r="AO6" s="99" t="s">
        <v>1977</v>
      </c>
      <c r="AP6" s="99" t="s">
        <v>1977</v>
      </c>
      <c r="AQ6" s="99" t="s">
        <v>1977</v>
      </c>
      <c r="AR6" s="99" t="s">
        <v>1977</v>
      </c>
      <c r="AS6" s="99" t="s">
        <v>1977</v>
      </c>
      <c r="AT6" s="99" t="s">
        <v>1977</v>
      </c>
      <c r="AU6" s="99" t="s">
        <v>1977</v>
      </c>
      <c r="AV6" s="99" t="s">
        <v>1977</v>
      </c>
      <c r="AW6" s="99" t="s">
        <v>1977</v>
      </c>
      <c r="AX6" s="240">
        <v>1</v>
      </c>
      <c r="AY6" s="99" t="s">
        <v>1977</v>
      </c>
    </row>
    <row r="7" spans="1:68">
      <c r="A7" t="s">
        <v>1114</v>
      </c>
      <c r="B7" s="90">
        <v>1</v>
      </c>
      <c r="C7" t="s">
        <v>1022</v>
      </c>
      <c r="D7" t="s">
        <v>1109</v>
      </c>
      <c r="E7" s="90">
        <v>3</v>
      </c>
      <c r="F7" s="90">
        <v>0</v>
      </c>
      <c r="G7" s="90">
        <v>-10</v>
      </c>
      <c r="H7" s="90">
        <v>0</v>
      </c>
      <c r="I7" s="90">
        <v>0</v>
      </c>
      <c r="J7" s="90">
        <v>0</v>
      </c>
      <c r="K7" s="90">
        <v>0</v>
      </c>
      <c r="L7" s="90">
        <v>0</v>
      </c>
      <c r="M7" s="90">
        <v>15</v>
      </c>
      <c r="N7" s="90">
        <v>15</v>
      </c>
      <c r="O7" s="90">
        <v>0</v>
      </c>
      <c r="P7" s="90">
        <v>3</v>
      </c>
      <c r="Q7" s="7" t="s">
        <v>1511</v>
      </c>
      <c r="R7" s="7" t="s">
        <v>1511</v>
      </c>
      <c r="S7" s="7" t="s">
        <v>1511</v>
      </c>
      <c r="T7" s="7" t="s">
        <v>1511</v>
      </c>
      <c r="U7" s="7" t="s">
        <v>1511</v>
      </c>
      <c r="V7" s="90"/>
      <c r="W7" s="168" t="s">
        <v>1736</v>
      </c>
      <c r="X7" s="90" t="s">
        <v>1514</v>
      </c>
      <c r="Y7" s="90" t="s">
        <v>1977</v>
      </c>
      <c r="Z7" s="90" t="s">
        <v>1977</v>
      </c>
      <c r="AA7" s="90" t="s">
        <v>1977</v>
      </c>
      <c r="AB7" s="90" t="s">
        <v>1977</v>
      </c>
      <c r="AC7" s="90" t="s">
        <v>1977</v>
      </c>
      <c r="AD7" s="99">
        <v>4</v>
      </c>
      <c r="AE7" s="99">
        <v>0</v>
      </c>
      <c r="AF7" s="99" t="s">
        <v>1977</v>
      </c>
      <c r="AG7" s="99" t="s">
        <v>1977</v>
      </c>
      <c r="AH7" s="99" t="s">
        <v>1977</v>
      </c>
      <c r="AI7" s="99" t="s">
        <v>1977</v>
      </c>
      <c r="AJ7" s="99" t="s">
        <v>1977</v>
      </c>
      <c r="AK7" s="99" t="s">
        <v>1977</v>
      </c>
      <c r="AL7" s="99" t="s">
        <v>1736</v>
      </c>
      <c r="AM7" s="99" t="s">
        <v>1977</v>
      </c>
      <c r="AN7" s="99" t="s">
        <v>1977</v>
      </c>
      <c r="AO7" s="99" t="s">
        <v>1977</v>
      </c>
      <c r="AP7" s="99" t="s">
        <v>1977</v>
      </c>
      <c r="AQ7" s="99" t="s">
        <v>1977</v>
      </c>
      <c r="AR7" s="99" t="s">
        <v>1977</v>
      </c>
      <c r="AS7" s="99" t="s">
        <v>1977</v>
      </c>
      <c r="AT7" s="99" t="s">
        <v>1977</v>
      </c>
      <c r="AU7" s="99" t="s">
        <v>1977</v>
      </c>
      <c r="AV7" s="99" t="s">
        <v>1977</v>
      </c>
      <c r="AW7" s="99" t="s">
        <v>1977</v>
      </c>
      <c r="AX7" s="240">
        <v>-10</v>
      </c>
      <c r="AY7" s="99" t="s">
        <v>1977</v>
      </c>
    </row>
    <row r="8" spans="1:68">
      <c r="A8" t="s">
        <v>1021</v>
      </c>
      <c r="B8" s="90">
        <v>1</v>
      </c>
      <c r="C8" t="s">
        <v>1022</v>
      </c>
      <c r="D8" t="s">
        <v>1109</v>
      </c>
      <c r="E8" s="90">
        <v>6</v>
      </c>
      <c r="F8" s="90">
        <v>0</v>
      </c>
      <c r="G8" s="90">
        <v>0</v>
      </c>
      <c r="H8" s="90">
        <v>0</v>
      </c>
      <c r="I8" s="90">
        <v>0</v>
      </c>
      <c r="J8" s="90">
        <v>0</v>
      </c>
      <c r="K8" s="90">
        <v>10</v>
      </c>
      <c r="L8" s="90">
        <v>0</v>
      </c>
      <c r="M8" s="90">
        <f t="shared" ref="M8:N31" si="0">IF(B8="Carnivore",15,10)</f>
        <v>10</v>
      </c>
      <c r="N8" s="90">
        <f t="shared" si="0"/>
        <v>15</v>
      </c>
      <c r="O8" s="90">
        <v>0</v>
      </c>
      <c r="P8" s="90">
        <v>6</v>
      </c>
      <c r="Q8" s="90" t="s">
        <v>1811</v>
      </c>
      <c r="R8" s="90" t="s">
        <v>1811</v>
      </c>
      <c r="S8" s="90" t="s">
        <v>1714</v>
      </c>
      <c r="T8" s="90" t="s">
        <v>1811</v>
      </c>
      <c r="U8" s="90" t="s">
        <v>1811</v>
      </c>
      <c r="V8" s="90"/>
      <c r="W8" s="168" t="s">
        <v>1951</v>
      </c>
      <c r="X8" s="90" t="s">
        <v>2358</v>
      </c>
      <c r="Y8" s="90" t="s">
        <v>2358</v>
      </c>
      <c r="Z8" s="90" t="s">
        <v>2358</v>
      </c>
      <c r="AA8" s="90" t="s">
        <v>2358</v>
      </c>
      <c r="AB8" s="90" t="s">
        <v>1514</v>
      </c>
      <c r="AC8" s="90" t="s">
        <v>1977</v>
      </c>
      <c r="AD8" s="99">
        <v>7.5</v>
      </c>
      <c r="AE8" s="99">
        <v>2.5</v>
      </c>
      <c r="AF8" s="99" t="s">
        <v>1977</v>
      </c>
      <c r="AG8" s="99" t="s">
        <v>1977</v>
      </c>
      <c r="AH8" s="99" t="s">
        <v>2069</v>
      </c>
      <c r="AI8" s="99" t="s">
        <v>2070</v>
      </c>
      <c r="AJ8" s="99" t="s">
        <v>1941</v>
      </c>
      <c r="AK8" s="99" t="s">
        <v>1945</v>
      </c>
      <c r="AL8" s="99" t="s">
        <v>1946</v>
      </c>
      <c r="AM8" s="99" t="s">
        <v>2119</v>
      </c>
      <c r="AN8" s="99" t="s">
        <v>1846</v>
      </c>
      <c r="AO8" t="s">
        <v>1977</v>
      </c>
      <c r="AP8" t="s">
        <v>1977</v>
      </c>
      <c r="AQ8" t="s">
        <v>1977</v>
      </c>
      <c r="AR8" t="s">
        <v>1977</v>
      </c>
      <c r="AS8" t="s">
        <v>1977</v>
      </c>
      <c r="AT8" t="s">
        <v>1977</v>
      </c>
      <c r="AU8" t="s">
        <v>1977</v>
      </c>
      <c r="AV8" t="s">
        <v>1977</v>
      </c>
      <c r="AW8" t="s">
        <v>1977</v>
      </c>
      <c r="AX8">
        <v>-4</v>
      </c>
      <c r="AY8" s="90"/>
      <c r="BA8" t="s">
        <v>1021</v>
      </c>
      <c r="BB8">
        <v>1</v>
      </c>
      <c r="BC8" t="s">
        <v>1022</v>
      </c>
      <c r="BD8" t="s">
        <v>1023</v>
      </c>
      <c r="BE8" t="s">
        <v>1643</v>
      </c>
      <c r="BF8">
        <v>0</v>
      </c>
      <c r="BG8" t="s">
        <v>1227</v>
      </c>
      <c r="BH8" t="s">
        <v>1228</v>
      </c>
      <c r="BI8" t="s">
        <v>1348</v>
      </c>
      <c r="BJ8">
        <v>15</v>
      </c>
      <c r="BK8">
        <v>5</v>
      </c>
      <c r="BL8">
        <v>4</v>
      </c>
      <c r="BM8">
        <v>6</v>
      </c>
      <c r="BN8" t="s">
        <v>1504</v>
      </c>
      <c r="BO8" t="s">
        <v>908</v>
      </c>
      <c r="BP8" t="s">
        <v>1367</v>
      </c>
    </row>
    <row r="9" spans="1:68">
      <c r="A9" t="s">
        <v>1206</v>
      </c>
      <c r="B9" s="90" t="s">
        <v>2343</v>
      </c>
      <c r="C9" t="s">
        <v>1022</v>
      </c>
      <c r="D9" t="s">
        <v>1098</v>
      </c>
      <c r="E9" s="90">
        <f t="shared" ref="E9:E31" si="1">P9</f>
        <v>0</v>
      </c>
      <c r="F9" s="90">
        <v>0</v>
      </c>
      <c r="G9" s="90">
        <v>2</v>
      </c>
      <c r="H9" s="90">
        <v>-1</v>
      </c>
      <c r="I9" s="90">
        <v>0</v>
      </c>
      <c r="J9" s="90">
        <v>0</v>
      </c>
      <c r="K9" s="90">
        <v>0</v>
      </c>
      <c r="L9" s="90">
        <v>0</v>
      </c>
      <c r="M9" s="90">
        <f t="shared" si="0"/>
        <v>10</v>
      </c>
      <c r="N9" s="90">
        <f t="shared" si="0"/>
        <v>15</v>
      </c>
      <c r="O9" s="90">
        <v>2</v>
      </c>
      <c r="P9" s="90">
        <v>0</v>
      </c>
      <c r="Q9" s="90" t="s">
        <v>1943</v>
      </c>
      <c r="R9" s="90" t="s">
        <v>1943</v>
      </c>
      <c r="S9" s="90" t="s">
        <v>1943</v>
      </c>
      <c r="T9" s="90" t="s">
        <v>1943</v>
      </c>
      <c r="U9" s="90" t="s">
        <v>1943</v>
      </c>
      <c r="V9" s="90"/>
      <c r="W9" s="168" t="s">
        <v>1812</v>
      </c>
      <c r="X9" s="90" t="s">
        <v>2278</v>
      </c>
      <c r="Y9" s="90" t="s">
        <v>2278</v>
      </c>
      <c r="Z9" s="90" t="s">
        <v>1514</v>
      </c>
      <c r="AA9" s="90" t="s">
        <v>1977</v>
      </c>
      <c r="AB9" s="90" t="s">
        <v>1977</v>
      </c>
      <c r="AC9" s="90" t="s">
        <v>1977</v>
      </c>
      <c r="AD9" s="99">
        <v>7</v>
      </c>
      <c r="AE9" s="99">
        <v>6.5</v>
      </c>
      <c r="AF9" s="99" t="s">
        <v>1977</v>
      </c>
      <c r="AG9" s="99" t="s">
        <v>1977</v>
      </c>
      <c r="AH9" s="99" t="s">
        <v>1977</v>
      </c>
      <c r="AI9" s="99" t="s">
        <v>1977</v>
      </c>
      <c r="AJ9" s="99" t="s">
        <v>1977</v>
      </c>
      <c r="AK9" s="99" t="s">
        <v>1977</v>
      </c>
      <c r="AL9" s="99" t="s">
        <v>1977</v>
      </c>
      <c r="AM9" s="99" t="s">
        <v>1977</v>
      </c>
      <c r="AN9" s="99" t="s">
        <v>1977</v>
      </c>
      <c r="AO9" t="s">
        <v>1977</v>
      </c>
      <c r="AP9" t="s">
        <v>1977</v>
      </c>
      <c r="AQ9" t="s">
        <v>1977</v>
      </c>
      <c r="AR9" t="s">
        <v>1977</v>
      </c>
      <c r="AS9" t="s">
        <v>1977</v>
      </c>
      <c r="AT9" t="s">
        <v>1977</v>
      </c>
      <c r="AU9" t="s">
        <v>1977</v>
      </c>
      <c r="AV9" t="s">
        <v>1977</v>
      </c>
      <c r="AW9" t="s">
        <v>1977</v>
      </c>
      <c r="AX9">
        <v>5</v>
      </c>
      <c r="BA9" t="s">
        <v>1206</v>
      </c>
      <c r="BB9" t="s">
        <v>2343</v>
      </c>
      <c r="BC9" t="s">
        <v>1022</v>
      </c>
      <c r="BD9" t="s">
        <v>2003</v>
      </c>
      <c r="BE9">
        <v>0</v>
      </c>
      <c r="BF9">
        <v>2</v>
      </c>
      <c r="BG9" t="s">
        <v>1724</v>
      </c>
      <c r="BH9" t="s">
        <v>1631</v>
      </c>
      <c r="BI9" t="s">
        <v>1349</v>
      </c>
      <c r="BJ9">
        <v>14</v>
      </c>
      <c r="BK9">
        <v>13</v>
      </c>
      <c r="BL9">
        <v>0</v>
      </c>
      <c r="BM9">
        <v>-1</v>
      </c>
    </row>
    <row r="10" spans="1:68">
      <c r="A10" t="s">
        <v>1632</v>
      </c>
      <c r="B10" s="90" t="s">
        <v>2344</v>
      </c>
      <c r="C10" t="s">
        <v>1022</v>
      </c>
      <c r="D10" t="s">
        <v>2003</v>
      </c>
      <c r="E10" s="90">
        <f t="shared" si="1"/>
        <v>-3</v>
      </c>
      <c r="F10" s="90">
        <v>0</v>
      </c>
      <c r="G10" s="90">
        <v>0</v>
      </c>
      <c r="H10" s="90">
        <v>0</v>
      </c>
      <c r="I10" s="90">
        <v>0</v>
      </c>
      <c r="J10" s="90">
        <v>0</v>
      </c>
      <c r="K10" s="90">
        <v>0</v>
      </c>
      <c r="L10" s="90">
        <v>0</v>
      </c>
      <c r="M10" s="90">
        <f t="shared" si="0"/>
        <v>10</v>
      </c>
      <c r="N10" s="90">
        <f t="shared" si="0"/>
        <v>15</v>
      </c>
      <c r="O10" s="90">
        <v>0</v>
      </c>
      <c r="P10" s="90">
        <v>-3</v>
      </c>
      <c r="Q10" s="90" t="s">
        <v>1943</v>
      </c>
      <c r="R10" s="90" t="s">
        <v>1943</v>
      </c>
      <c r="S10" s="90" t="s">
        <v>1943</v>
      </c>
      <c r="T10" s="90" t="s">
        <v>1943</v>
      </c>
      <c r="U10" s="90" t="s">
        <v>1943</v>
      </c>
      <c r="V10" s="90" t="s">
        <v>1943</v>
      </c>
      <c r="W10" s="168" t="s">
        <v>1959</v>
      </c>
      <c r="X10" s="90" t="s">
        <v>1514</v>
      </c>
      <c r="Y10" s="90" t="s">
        <v>1977</v>
      </c>
      <c r="Z10" s="90" t="s">
        <v>1977</v>
      </c>
      <c r="AA10" s="90" t="s">
        <v>1977</v>
      </c>
      <c r="AB10" s="90" t="s">
        <v>1977</v>
      </c>
      <c r="AC10" s="90" t="s">
        <v>1977</v>
      </c>
      <c r="AD10" s="99">
        <v>5.5</v>
      </c>
      <c r="AE10" s="99">
        <v>5.5</v>
      </c>
      <c r="AF10" s="99" t="s">
        <v>1977</v>
      </c>
      <c r="AG10" s="99" t="s">
        <v>1977</v>
      </c>
      <c r="AH10" s="99" t="s">
        <v>1977</v>
      </c>
      <c r="AI10" s="99" t="s">
        <v>1977</v>
      </c>
      <c r="AJ10" s="99" t="s">
        <v>1977</v>
      </c>
      <c r="AK10" s="99" t="s">
        <v>1977</v>
      </c>
      <c r="AL10" s="99" t="s">
        <v>1977</v>
      </c>
      <c r="AM10" s="99" t="s">
        <v>1977</v>
      </c>
      <c r="AN10" s="99" t="s">
        <v>1977</v>
      </c>
      <c r="AO10" t="s">
        <v>1977</v>
      </c>
      <c r="AP10" t="s">
        <v>1977</v>
      </c>
      <c r="AQ10" t="s">
        <v>1977</v>
      </c>
      <c r="AR10" t="s">
        <v>1977</v>
      </c>
      <c r="AS10" t="s">
        <v>1977</v>
      </c>
      <c r="AT10" t="s">
        <v>1977</v>
      </c>
      <c r="AU10" t="s">
        <v>1977</v>
      </c>
      <c r="AV10" t="s">
        <v>1977</v>
      </c>
      <c r="AW10" t="s">
        <v>1977</v>
      </c>
      <c r="AX10">
        <v>20</v>
      </c>
      <c r="BA10" t="s">
        <v>1632</v>
      </c>
      <c r="BB10" t="s">
        <v>2344</v>
      </c>
      <c r="BC10" t="s">
        <v>1022</v>
      </c>
      <c r="BD10" t="s">
        <v>1018</v>
      </c>
      <c r="BE10">
        <v>0</v>
      </c>
      <c r="BF10">
        <v>0</v>
      </c>
      <c r="BG10" t="s">
        <v>1633</v>
      </c>
      <c r="BH10" t="s">
        <v>1634</v>
      </c>
      <c r="BI10" t="s">
        <v>1637</v>
      </c>
      <c r="BJ10">
        <v>11</v>
      </c>
      <c r="BK10">
        <v>11</v>
      </c>
      <c r="BL10">
        <v>-3</v>
      </c>
      <c r="BM10">
        <v>-7</v>
      </c>
      <c r="BN10" t="s">
        <v>1638</v>
      </c>
      <c r="BP10" t="s">
        <v>1850</v>
      </c>
    </row>
    <row r="11" spans="1:68">
      <c r="A11" t="s">
        <v>2345</v>
      </c>
      <c r="B11" s="90" t="s">
        <v>2346</v>
      </c>
      <c r="C11" t="s">
        <v>2203</v>
      </c>
      <c r="D11" t="s">
        <v>1109</v>
      </c>
      <c r="E11" s="90">
        <f t="shared" si="1"/>
        <v>-3</v>
      </c>
      <c r="F11" s="90">
        <v>0</v>
      </c>
      <c r="G11" s="90">
        <v>4</v>
      </c>
      <c r="H11" s="90">
        <v>0</v>
      </c>
      <c r="I11" s="90">
        <v>0</v>
      </c>
      <c r="J11" s="90">
        <v>0</v>
      </c>
      <c r="K11" s="90">
        <v>3</v>
      </c>
      <c r="L11" s="90">
        <v>0</v>
      </c>
      <c r="M11" s="90">
        <f t="shared" si="0"/>
        <v>10</v>
      </c>
      <c r="N11" s="90">
        <f t="shared" si="0"/>
        <v>10</v>
      </c>
      <c r="O11" s="90">
        <v>4</v>
      </c>
      <c r="P11" s="90">
        <v>-3</v>
      </c>
      <c r="Q11" s="90" t="s">
        <v>1943</v>
      </c>
      <c r="R11" s="90" t="s">
        <v>1943</v>
      </c>
      <c r="S11" s="90" t="s">
        <v>1943</v>
      </c>
      <c r="T11" s="90" t="s">
        <v>1943</v>
      </c>
      <c r="U11" s="90" t="s">
        <v>1943</v>
      </c>
      <c r="V11" s="90"/>
      <c r="W11" s="168" t="s">
        <v>1865</v>
      </c>
      <c r="X11" s="90" t="s">
        <v>1977</v>
      </c>
      <c r="Y11" s="90" t="s">
        <v>1977</v>
      </c>
      <c r="Z11" s="90" t="s">
        <v>1977</v>
      </c>
      <c r="AA11" s="90" t="s">
        <v>1977</v>
      </c>
      <c r="AB11" s="90" t="s">
        <v>1977</v>
      </c>
      <c r="AC11" s="90" t="s">
        <v>1977</v>
      </c>
      <c r="AD11" s="99">
        <v>6.5</v>
      </c>
      <c r="AE11" s="99">
        <v>2</v>
      </c>
      <c r="AF11" s="99" t="s">
        <v>1977</v>
      </c>
      <c r="AG11" s="99" t="s">
        <v>1977</v>
      </c>
      <c r="AH11" s="99" t="s">
        <v>1854</v>
      </c>
      <c r="AI11" s="99" t="s">
        <v>2069</v>
      </c>
      <c r="AJ11" s="99" t="s">
        <v>1977</v>
      </c>
      <c r="AK11" s="99" t="s">
        <v>1977</v>
      </c>
      <c r="AL11" s="99" t="s">
        <v>2002</v>
      </c>
      <c r="AM11" s="99" t="s">
        <v>1977</v>
      </c>
      <c r="AN11" s="99" t="s">
        <v>1846</v>
      </c>
      <c r="AO11" t="s">
        <v>1977</v>
      </c>
      <c r="AP11" t="s">
        <v>1977</v>
      </c>
      <c r="AQ11" t="s">
        <v>1977</v>
      </c>
      <c r="AR11" t="s">
        <v>1977</v>
      </c>
      <c r="AS11" t="s">
        <v>1977</v>
      </c>
      <c r="AT11" t="s">
        <v>1977</v>
      </c>
      <c r="AU11" t="s">
        <v>1977</v>
      </c>
      <c r="AV11" t="s">
        <v>1977</v>
      </c>
      <c r="AW11" t="s">
        <v>1977</v>
      </c>
      <c r="AX11">
        <v>-4</v>
      </c>
      <c r="BA11" t="s">
        <v>2345</v>
      </c>
      <c r="BB11" t="s">
        <v>2346</v>
      </c>
      <c r="BC11" t="s">
        <v>2203</v>
      </c>
      <c r="BD11" t="s">
        <v>1023</v>
      </c>
      <c r="BE11">
        <v>0</v>
      </c>
      <c r="BF11">
        <v>4</v>
      </c>
      <c r="BG11" t="s">
        <v>2357</v>
      </c>
      <c r="BI11" t="s">
        <v>1348</v>
      </c>
      <c r="BJ11">
        <v>13</v>
      </c>
      <c r="BK11">
        <v>4</v>
      </c>
      <c r="BL11">
        <v>-3</v>
      </c>
      <c r="BM11">
        <v>-1</v>
      </c>
      <c r="BN11" t="s">
        <v>1848</v>
      </c>
      <c r="BO11" t="s">
        <v>1849</v>
      </c>
      <c r="BP11" t="s">
        <v>1851</v>
      </c>
    </row>
    <row r="12" spans="1:68">
      <c r="A12" t="s">
        <v>1852</v>
      </c>
      <c r="B12" s="90" t="s">
        <v>2344</v>
      </c>
      <c r="C12" t="s">
        <v>1022</v>
      </c>
      <c r="D12" t="s">
        <v>1109</v>
      </c>
      <c r="E12" s="90">
        <f t="shared" si="1"/>
        <v>-1</v>
      </c>
      <c r="F12" s="90">
        <v>0</v>
      </c>
      <c r="G12" s="90">
        <v>0</v>
      </c>
      <c r="H12" s="90">
        <v>0</v>
      </c>
      <c r="I12" s="90">
        <v>0</v>
      </c>
      <c r="J12" s="90">
        <v>0</v>
      </c>
      <c r="K12" s="90">
        <v>0</v>
      </c>
      <c r="L12" s="90">
        <v>0</v>
      </c>
      <c r="M12" s="90">
        <f t="shared" si="0"/>
        <v>10</v>
      </c>
      <c r="N12" s="90">
        <f t="shared" si="0"/>
        <v>15</v>
      </c>
      <c r="O12" s="90">
        <v>0</v>
      </c>
      <c r="P12" s="90">
        <v>-1</v>
      </c>
      <c r="Q12" s="90" t="s">
        <v>1714</v>
      </c>
      <c r="R12" s="90" t="s">
        <v>1714</v>
      </c>
      <c r="S12" s="90" t="s">
        <v>1714</v>
      </c>
      <c r="T12" s="90" t="s">
        <v>1714</v>
      </c>
      <c r="U12" s="90" t="s">
        <v>1714</v>
      </c>
      <c r="V12" s="90"/>
      <c r="W12" s="168" t="s">
        <v>1704</v>
      </c>
      <c r="X12" s="90" t="s">
        <v>2278</v>
      </c>
      <c r="Y12" s="90" t="s">
        <v>2278</v>
      </c>
      <c r="Z12" s="90" t="s">
        <v>1514</v>
      </c>
      <c r="AA12" s="90" t="s">
        <v>1977</v>
      </c>
      <c r="AB12" s="90" t="s">
        <v>1977</v>
      </c>
      <c r="AC12" s="90" t="s">
        <v>1977</v>
      </c>
      <c r="AD12" s="99">
        <v>6.5</v>
      </c>
      <c r="AE12" s="99">
        <v>6</v>
      </c>
      <c r="AF12" s="99" t="s">
        <v>1977</v>
      </c>
      <c r="AG12" s="99" t="s">
        <v>1977</v>
      </c>
      <c r="AH12" s="99" t="s">
        <v>1977</v>
      </c>
      <c r="AI12" s="99" t="s">
        <v>1977</v>
      </c>
      <c r="AJ12" s="99" t="s">
        <v>1977</v>
      </c>
      <c r="AK12" s="99" t="s">
        <v>1977</v>
      </c>
      <c r="AL12" s="99" t="s">
        <v>1977</v>
      </c>
      <c r="AM12" s="99" t="s">
        <v>1977</v>
      </c>
      <c r="AN12" s="99" t="s">
        <v>1977</v>
      </c>
      <c r="AO12" t="s">
        <v>1977</v>
      </c>
      <c r="AP12" t="s">
        <v>1977</v>
      </c>
      <c r="AQ12" t="s">
        <v>1977</v>
      </c>
      <c r="AR12" t="s">
        <v>1977</v>
      </c>
      <c r="AS12" t="s">
        <v>1977</v>
      </c>
      <c r="AT12" t="s">
        <v>1977</v>
      </c>
      <c r="AU12" t="s">
        <v>1977</v>
      </c>
      <c r="AV12" t="s">
        <v>1977</v>
      </c>
      <c r="AW12" t="s">
        <v>1977</v>
      </c>
      <c r="AX12">
        <v>0</v>
      </c>
      <c r="BA12" t="s">
        <v>1852</v>
      </c>
      <c r="BB12" t="s">
        <v>2344</v>
      </c>
      <c r="BC12" t="s">
        <v>1022</v>
      </c>
      <c r="BD12" t="s">
        <v>1023</v>
      </c>
      <c r="BE12" t="s">
        <v>1701</v>
      </c>
      <c r="BF12">
        <v>0</v>
      </c>
      <c r="BG12" t="s">
        <v>1724</v>
      </c>
      <c r="BH12" t="s">
        <v>1702</v>
      </c>
      <c r="BI12" t="s">
        <v>1703</v>
      </c>
      <c r="BJ12">
        <v>13</v>
      </c>
      <c r="BK12">
        <v>12</v>
      </c>
      <c r="BL12">
        <v>-1</v>
      </c>
      <c r="BM12">
        <v>0</v>
      </c>
      <c r="BP12" t="s">
        <v>1704</v>
      </c>
    </row>
    <row r="13" spans="1:68">
      <c r="A13" t="s">
        <v>2017</v>
      </c>
      <c r="B13" s="90">
        <v>1</v>
      </c>
      <c r="C13" t="s">
        <v>2277</v>
      </c>
      <c r="D13" t="s">
        <v>1098</v>
      </c>
      <c r="E13" s="90">
        <f t="shared" si="1"/>
        <v>2</v>
      </c>
      <c r="F13" s="90">
        <v>0</v>
      </c>
      <c r="G13" s="90">
        <v>0</v>
      </c>
      <c r="H13" s="90">
        <v>0</v>
      </c>
      <c r="I13" s="90">
        <v>0</v>
      </c>
      <c r="J13" s="90">
        <v>0</v>
      </c>
      <c r="K13" s="90">
        <v>0</v>
      </c>
      <c r="L13" s="90">
        <v>0</v>
      </c>
      <c r="M13" s="90">
        <f t="shared" si="0"/>
        <v>10</v>
      </c>
      <c r="N13" s="90">
        <f t="shared" si="0"/>
        <v>10</v>
      </c>
      <c r="O13" s="90">
        <v>0</v>
      </c>
      <c r="P13" s="90">
        <v>2</v>
      </c>
      <c r="Q13" s="90" t="s">
        <v>1810</v>
      </c>
      <c r="R13" s="90" t="s">
        <v>1810</v>
      </c>
      <c r="S13" s="90" t="s">
        <v>1810</v>
      </c>
      <c r="T13" s="90" t="s">
        <v>1810</v>
      </c>
      <c r="U13" s="90" t="s">
        <v>1810</v>
      </c>
      <c r="V13" s="90"/>
      <c r="W13" s="168" t="s">
        <v>1812</v>
      </c>
      <c r="X13" s="90" t="s">
        <v>2139</v>
      </c>
      <c r="Y13" s="90" t="s">
        <v>2139</v>
      </c>
      <c r="Z13" s="90" t="s">
        <v>2139</v>
      </c>
      <c r="AA13" s="90" t="s">
        <v>2139</v>
      </c>
      <c r="AB13" s="90" t="s">
        <v>1977</v>
      </c>
      <c r="AC13" s="90" t="s">
        <v>1977</v>
      </c>
      <c r="AD13" s="99">
        <v>6</v>
      </c>
      <c r="AE13" s="99">
        <v>4.5</v>
      </c>
      <c r="AF13" s="99" t="s">
        <v>1977</v>
      </c>
      <c r="AG13" s="99" t="s">
        <v>1977</v>
      </c>
      <c r="AH13" s="99" t="s">
        <v>1977</v>
      </c>
      <c r="AI13" s="99" t="s">
        <v>1977</v>
      </c>
      <c r="AJ13" s="99" t="s">
        <v>1977</v>
      </c>
      <c r="AK13" s="99" t="s">
        <v>1977</v>
      </c>
      <c r="AL13" s="99" t="s">
        <v>1977</v>
      </c>
      <c r="AM13" s="99" t="s">
        <v>1977</v>
      </c>
      <c r="AN13" s="99" t="s">
        <v>1977</v>
      </c>
      <c r="AO13" t="s">
        <v>1977</v>
      </c>
      <c r="AP13" t="s">
        <v>1977</v>
      </c>
      <c r="AQ13" t="s">
        <v>1977</v>
      </c>
      <c r="AR13" t="s">
        <v>1977</v>
      </c>
      <c r="AS13" t="s">
        <v>1977</v>
      </c>
      <c r="AT13" t="s">
        <v>1977</v>
      </c>
      <c r="AU13" t="s">
        <v>1977</v>
      </c>
      <c r="AV13" t="s">
        <v>1977</v>
      </c>
      <c r="AW13" t="s">
        <v>1977</v>
      </c>
      <c r="AX13">
        <v>-4</v>
      </c>
      <c r="BA13" t="s">
        <v>2017</v>
      </c>
      <c r="BB13">
        <v>1</v>
      </c>
      <c r="BC13" t="s">
        <v>2277</v>
      </c>
      <c r="BD13" t="s">
        <v>2003</v>
      </c>
      <c r="BE13" t="s">
        <v>2273</v>
      </c>
      <c r="BF13">
        <v>0</v>
      </c>
      <c r="BG13" t="s">
        <v>1957</v>
      </c>
      <c r="BH13" t="s">
        <v>1958</v>
      </c>
      <c r="BI13" t="s">
        <v>1348</v>
      </c>
      <c r="BJ13">
        <v>12</v>
      </c>
      <c r="BK13">
        <v>9</v>
      </c>
      <c r="BL13">
        <v>2</v>
      </c>
      <c r="BM13">
        <v>1</v>
      </c>
    </row>
    <row r="14" spans="1:68">
      <c r="A14" t="s">
        <v>2150</v>
      </c>
      <c r="B14" s="90">
        <v>1</v>
      </c>
      <c r="C14" t="s">
        <v>1022</v>
      </c>
      <c r="D14" t="s">
        <v>1109</v>
      </c>
      <c r="E14" s="90">
        <f t="shared" si="1"/>
        <v>4</v>
      </c>
      <c r="F14" s="90">
        <v>0</v>
      </c>
      <c r="G14" s="100">
        <v>2</v>
      </c>
      <c r="H14" s="90">
        <v>0</v>
      </c>
      <c r="I14" s="90">
        <v>0</v>
      </c>
      <c r="J14" s="90">
        <v>0</v>
      </c>
      <c r="K14" s="90">
        <v>0</v>
      </c>
      <c r="L14" s="90">
        <v>0</v>
      </c>
      <c r="M14" s="90">
        <f t="shared" si="0"/>
        <v>10</v>
      </c>
      <c r="N14" s="90">
        <f t="shared" si="0"/>
        <v>15</v>
      </c>
      <c r="O14" s="100">
        <v>2</v>
      </c>
      <c r="P14" s="90">
        <v>4</v>
      </c>
      <c r="Q14" s="90" t="s">
        <v>2143</v>
      </c>
      <c r="R14" s="90" t="s">
        <v>2143</v>
      </c>
      <c r="S14" s="90" t="s">
        <v>2143</v>
      </c>
      <c r="T14" s="90" t="s">
        <v>2143</v>
      </c>
      <c r="U14" s="90" t="s">
        <v>2143</v>
      </c>
      <c r="V14" s="90"/>
      <c r="W14" s="219" t="s">
        <v>1989</v>
      </c>
      <c r="X14" s="90" t="s">
        <v>1514</v>
      </c>
      <c r="Y14" s="90" t="s">
        <v>1514</v>
      </c>
      <c r="Z14" s="90" t="s">
        <v>1514</v>
      </c>
      <c r="AA14" s="90" t="s">
        <v>1514</v>
      </c>
      <c r="AB14" s="90" t="s">
        <v>1977</v>
      </c>
      <c r="AC14" s="90" t="s">
        <v>1977</v>
      </c>
      <c r="AD14" s="99">
        <v>3.5</v>
      </c>
      <c r="AE14" s="99">
        <v>7.5</v>
      </c>
      <c r="AF14" s="99" t="s">
        <v>1855</v>
      </c>
      <c r="AG14" s="99" t="s">
        <v>1977</v>
      </c>
      <c r="AH14" s="99" t="s">
        <v>1977</v>
      </c>
      <c r="AI14" s="99" t="s">
        <v>1977</v>
      </c>
      <c r="AJ14" s="99" t="s">
        <v>1977</v>
      </c>
      <c r="AK14" s="99" t="s">
        <v>1977</v>
      </c>
      <c r="AL14" s="99" t="s">
        <v>1977</v>
      </c>
      <c r="AM14" s="99" t="s">
        <v>1977</v>
      </c>
      <c r="AN14" s="99" t="s">
        <v>1977</v>
      </c>
      <c r="AO14" t="s">
        <v>1977</v>
      </c>
      <c r="AP14" t="s">
        <v>1977</v>
      </c>
      <c r="AQ14" t="s">
        <v>1977</v>
      </c>
      <c r="AR14" t="s">
        <v>1977</v>
      </c>
      <c r="AS14" t="s">
        <v>1977</v>
      </c>
      <c r="AT14" t="s">
        <v>1977</v>
      </c>
      <c r="AU14" t="s">
        <v>1977</v>
      </c>
      <c r="AV14" t="s">
        <v>1977</v>
      </c>
      <c r="AW14" t="s">
        <v>1977</v>
      </c>
      <c r="AX14">
        <v>-7</v>
      </c>
      <c r="BA14" t="s">
        <v>2150</v>
      </c>
      <c r="BB14">
        <v>1</v>
      </c>
      <c r="BC14" t="s">
        <v>1022</v>
      </c>
      <c r="BD14" t="s">
        <v>1023</v>
      </c>
      <c r="BE14" t="s">
        <v>2151</v>
      </c>
      <c r="BF14" s="134" t="s">
        <v>2152</v>
      </c>
      <c r="BG14" t="s">
        <v>1864</v>
      </c>
      <c r="BH14" t="s">
        <v>2281</v>
      </c>
      <c r="BI14" t="s">
        <v>2343</v>
      </c>
      <c r="BJ14">
        <v>7</v>
      </c>
      <c r="BK14">
        <v>15</v>
      </c>
      <c r="BL14">
        <v>4</v>
      </c>
      <c r="BM14">
        <v>4</v>
      </c>
      <c r="BP14" t="s">
        <v>2147</v>
      </c>
    </row>
    <row r="15" spans="1:68">
      <c r="A15" t="s">
        <v>2282</v>
      </c>
      <c r="B15" s="90" t="s">
        <v>2344</v>
      </c>
      <c r="C15" t="s">
        <v>1022</v>
      </c>
      <c r="D15" t="s">
        <v>1098</v>
      </c>
      <c r="E15" s="90">
        <f t="shared" si="1"/>
        <v>4</v>
      </c>
      <c r="F15" s="90">
        <v>0</v>
      </c>
      <c r="G15" s="90">
        <v>-2</v>
      </c>
      <c r="H15" s="90">
        <v>0</v>
      </c>
      <c r="I15" s="90">
        <v>0</v>
      </c>
      <c r="J15" s="90">
        <v>0</v>
      </c>
      <c r="K15" s="90">
        <v>0</v>
      </c>
      <c r="L15" s="90">
        <v>0</v>
      </c>
      <c r="M15" s="90">
        <f t="shared" si="0"/>
        <v>10</v>
      </c>
      <c r="N15" s="90">
        <f t="shared" si="0"/>
        <v>15</v>
      </c>
      <c r="O15" s="90">
        <v>-2</v>
      </c>
      <c r="P15" s="90">
        <v>4</v>
      </c>
      <c r="Q15" s="90" t="s">
        <v>1943</v>
      </c>
      <c r="R15" s="90" t="s">
        <v>1943</v>
      </c>
      <c r="S15" s="90" t="s">
        <v>1943</v>
      </c>
      <c r="T15" s="90" t="s">
        <v>1943</v>
      </c>
      <c r="U15" s="90" t="s">
        <v>1943</v>
      </c>
      <c r="V15" s="90" t="s">
        <v>1943</v>
      </c>
      <c r="W15" s="168" t="s">
        <v>1850</v>
      </c>
      <c r="X15" s="90" t="s">
        <v>2278</v>
      </c>
      <c r="Y15" s="90" t="s">
        <v>1514</v>
      </c>
      <c r="Z15" s="90" t="s">
        <v>1977</v>
      </c>
      <c r="AA15" s="90" t="s">
        <v>1977</v>
      </c>
      <c r="AB15" s="90" t="s">
        <v>1977</v>
      </c>
      <c r="AC15" s="90" t="s">
        <v>1977</v>
      </c>
      <c r="AD15" s="99">
        <v>8</v>
      </c>
      <c r="AE15" s="99">
        <v>9</v>
      </c>
      <c r="AF15" s="99" t="s">
        <v>1977</v>
      </c>
      <c r="AG15" s="99" t="s">
        <v>1977</v>
      </c>
      <c r="AH15" s="99" t="s">
        <v>1977</v>
      </c>
      <c r="AI15" s="99" t="s">
        <v>1977</v>
      </c>
      <c r="AJ15" s="99" t="s">
        <v>1977</v>
      </c>
      <c r="AK15" s="99" t="s">
        <v>1977</v>
      </c>
      <c r="AL15" s="99" t="s">
        <v>1977</v>
      </c>
      <c r="AM15" s="99" t="s">
        <v>1977</v>
      </c>
      <c r="AN15" s="99" t="s">
        <v>1977</v>
      </c>
      <c r="AO15" t="s">
        <v>1977</v>
      </c>
      <c r="AP15" t="s">
        <v>1977</v>
      </c>
      <c r="AQ15" t="s">
        <v>1977</v>
      </c>
      <c r="AR15" t="s">
        <v>1977</v>
      </c>
      <c r="AS15" t="s">
        <v>1977</v>
      </c>
      <c r="AT15" t="s">
        <v>1977</v>
      </c>
      <c r="AU15" t="s">
        <v>1977</v>
      </c>
      <c r="AV15" t="s">
        <v>1977</v>
      </c>
      <c r="AW15" t="s">
        <v>1977</v>
      </c>
      <c r="AX15">
        <v>10</v>
      </c>
      <c r="BA15" t="s">
        <v>2282</v>
      </c>
      <c r="BB15" t="s">
        <v>2344</v>
      </c>
      <c r="BC15" t="s">
        <v>1022</v>
      </c>
      <c r="BD15" t="s">
        <v>2003</v>
      </c>
      <c r="BE15">
        <v>0</v>
      </c>
      <c r="BF15">
        <v>-2</v>
      </c>
      <c r="BG15" t="s">
        <v>2181</v>
      </c>
      <c r="BH15" t="s">
        <v>1631</v>
      </c>
      <c r="BI15" t="s">
        <v>2182</v>
      </c>
      <c r="BJ15">
        <v>16</v>
      </c>
      <c r="BK15">
        <v>18</v>
      </c>
      <c r="BL15">
        <v>4</v>
      </c>
      <c r="BM15">
        <v>5</v>
      </c>
    </row>
    <row r="16" spans="1:68">
      <c r="A16" t="s">
        <v>2169</v>
      </c>
      <c r="B16" s="90">
        <v>1</v>
      </c>
      <c r="C16" t="s">
        <v>1022</v>
      </c>
      <c r="D16" t="s">
        <v>1109</v>
      </c>
      <c r="E16" s="90">
        <f t="shared" si="1"/>
        <v>4</v>
      </c>
      <c r="F16" s="90">
        <v>0</v>
      </c>
      <c r="G16" s="90">
        <v>0</v>
      </c>
      <c r="H16" s="90">
        <v>0</v>
      </c>
      <c r="I16" s="90">
        <v>0</v>
      </c>
      <c r="J16" s="90">
        <v>0</v>
      </c>
      <c r="K16" s="90">
        <v>0</v>
      </c>
      <c r="L16" s="90">
        <v>0</v>
      </c>
      <c r="M16" s="90">
        <f t="shared" si="0"/>
        <v>10</v>
      </c>
      <c r="N16" s="90">
        <f t="shared" si="0"/>
        <v>15</v>
      </c>
      <c r="O16" s="90">
        <v>0</v>
      </c>
      <c r="P16" s="90">
        <v>4</v>
      </c>
      <c r="Q16" s="90" t="s">
        <v>1943</v>
      </c>
      <c r="R16" s="90" t="s">
        <v>1943</v>
      </c>
      <c r="S16" s="90" t="s">
        <v>1943</v>
      </c>
      <c r="T16" s="90" t="s">
        <v>1943</v>
      </c>
      <c r="U16" s="90" t="s">
        <v>1943</v>
      </c>
      <c r="V16" s="90"/>
      <c r="W16" s="168" t="s">
        <v>1866</v>
      </c>
      <c r="X16" s="90" t="s">
        <v>2139</v>
      </c>
      <c r="Y16" s="90" t="s">
        <v>1977</v>
      </c>
      <c r="Z16" s="90" t="s">
        <v>2136</v>
      </c>
      <c r="AA16" s="90" t="s">
        <v>1977</v>
      </c>
      <c r="AB16" s="90" t="s">
        <v>1977</v>
      </c>
      <c r="AC16" s="90" t="s">
        <v>1977</v>
      </c>
      <c r="AD16" s="99">
        <v>6.5</v>
      </c>
      <c r="AE16" s="99">
        <v>8</v>
      </c>
      <c r="AF16" s="99" t="s">
        <v>1977</v>
      </c>
      <c r="AG16" s="99" t="s">
        <v>1977</v>
      </c>
      <c r="AH16" s="99" t="s">
        <v>1977</v>
      </c>
      <c r="AI16" s="99" t="s">
        <v>1977</v>
      </c>
      <c r="AJ16" s="99" t="s">
        <v>1977</v>
      </c>
      <c r="AK16" s="99" t="s">
        <v>1977</v>
      </c>
      <c r="AL16" s="99" t="s">
        <v>1977</v>
      </c>
      <c r="AM16" s="99" t="s">
        <v>1977</v>
      </c>
      <c r="AN16" s="99" t="s">
        <v>1977</v>
      </c>
      <c r="AO16" t="s">
        <v>1977</v>
      </c>
      <c r="AP16" t="s">
        <v>1977</v>
      </c>
      <c r="AQ16" t="s">
        <v>1977</v>
      </c>
      <c r="AR16" t="s">
        <v>1977</v>
      </c>
      <c r="AS16" t="s">
        <v>1977</v>
      </c>
      <c r="AT16" t="s">
        <v>1977</v>
      </c>
      <c r="AU16" t="s">
        <v>1977</v>
      </c>
      <c r="AV16" t="s">
        <v>1977</v>
      </c>
      <c r="AW16" t="s">
        <v>1977</v>
      </c>
      <c r="AX16">
        <v>-4</v>
      </c>
      <c r="BA16" t="s">
        <v>2169</v>
      </c>
      <c r="BB16">
        <v>1</v>
      </c>
      <c r="BC16" t="s">
        <v>1022</v>
      </c>
      <c r="BD16" t="s">
        <v>1023</v>
      </c>
      <c r="BE16">
        <v>0</v>
      </c>
      <c r="BF16">
        <v>0</v>
      </c>
      <c r="BG16" t="s">
        <v>2004</v>
      </c>
      <c r="BH16" t="s">
        <v>2005</v>
      </c>
      <c r="BI16" t="s">
        <v>1348</v>
      </c>
      <c r="BJ16">
        <v>13</v>
      </c>
      <c r="BK16">
        <v>16</v>
      </c>
      <c r="BL16">
        <v>4</v>
      </c>
      <c r="BM16">
        <v>6</v>
      </c>
      <c r="BP16" t="s">
        <v>1324</v>
      </c>
    </row>
    <row r="17" spans="1:68">
      <c r="A17" t="s">
        <v>1325</v>
      </c>
      <c r="B17" s="90">
        <v>1</v>
      </c>
      <c r="C17" t="s">
        <v>1022</v>
      </c>
      <c r="D17" t="s">
        <v>1109</v>
      </c>
      <c r="E17" s="90">
        <f t="shared" si="1"/>
        <v>-8</v>
      </c>
      <c r="F17" s="90">
        <v>0</v>
      </c>
      <c r="G17" s="90">
        <v>2</v>
      </c>
      <c r="H17" s="90">
        <v>0</v>
      </c>
      <c r="I17" s="90">
        <v>0</v>
      </c>
      <c r="J17" s="90">
        <v>0</v>
      </c>
      <c r="K17" s="90">
        <v>0</v>
      </c>
      <c r="L17" s="90">
        <v>0</v>
      </c>
      <c r="M17" s="90">
        <f t="shared" si="0"/>
        <v>10</v>
      </c>
      <c r="N17" s="90">
        <f t="shared" si="0"/>
        <v>15</v>
      </c>
      <c r="O17" s="90">
        <v>2</v>
      </c>
      <c r="P17" s="90">
        <v>-8</v>
      </c>
      <c r="Q17" s="90" t="s">
        <v>1943</v>
      </c>
      <c r="R17" s="90" t="s">
        <v>1943</v>
      </c>
      <c r="S17" s="90" t="s">
        <v>1943</v>
      </c>
      <c r="T17" s="90" t="s">
        <v>1943</v>
      </c>
      <c r="U17" s="90" t="s">
        <v>1943</v>
      </c>
      <c r="V17" s="90"/>
      <c r="W17" s="168" t="s">
        <v>1812</v>
      </c>
      <c r="X17" s="90" t="s">
        <v>2139</v>
      </c>
      <c r="Y17" s="90" t="s">
        <v>1977</v>
      </c>
      <c r="Z17" s="90" t="s">
        <v>1514</v>
      </c>
      <c r="AA17" s="90" t="s">
        <v>1977</v>
      </c>
      <c r="AB17" s="90" t="s">
        <v>1977</v>
      </c>
      <c r="AC17" s="90" t="s">
        <v>1977</v>
      </c>
      <c r="AD17" s="99">
        <v>6.5</v>
      </c>
      <c r="AE17" s="99">
        <v>8</v>
      </c>
      <c r="AF17" s="99" t="s">
        <v>1977</v>
      </c>
      <c r="AG17" s="99" t="s">
        <v>1977</v>
      </c>
      <c r="AH17" s="99" t="s">
        <v>1977</v>
      </c>
      <c r="AI17" s="99" t="s">
        <v>1977</v>
      </c>
      <c r="AJ17" s="99" t="s">
        <v>1977</v>
      </c>
      <c r="AK17" s="99" t="s">
        <v>1977</v>
      </c>
      <c r="AL17" s="99" t="s">
        <v>1977</v>
      </c>
      <c r="AM17" s="99" t="s">
        <v>1977</v>
      </c>
      <c r="AN17" s="99" t="s">
        <v>1977</v>
      </c>
      <c r="AO17" t="s">
        <v>1977</v>
      </c>
      <c r="AP17" t="s">
        <v>1977</v>
      </c>
      <c r="AQ17" t="s">
        <v>1977</v>
      </c>
      <c r="AR17" t="s">
        <v>1977</v>
      </c>
      <c r="AS17" t="s">
        <v>1977</v>
      </c>
      <c r="AT17" t="s">
        <v>1977</v>
      </c>
      <c r="AU17" t="s">
        <v>1977</v>
      </c>
      <c r="AV17" t="s">
        <v>1977</v>
      </c>
      <c r="AW17" t="s">
        <v>1977</v>
      </c>
      <c r="AX17">
        <v>6</v>
      </c>
      <c r="BA17" t="s">
        <v>1325</v>
      </c>
      <c r="BB17">
        <v>1</v>
      </c>
      <c r="BC17" t="s">
        <v>1022</v>
      </c>
      <c r="BD17" t="s">
        <v>1023</v>
      </c>
      <c r="BE17">
        <v>0</v>
      </c>
      <c r="BF17">
        <v>2</v>
      </c>
      <c r="BG17" t="s">
        <v>1312</v>
      </c>
      <c r="BH17" t="s">
        <v>1228</v>
      </c>
      <c r="BI17" t="s">
        <v>1635</v>
      </c>
      <c r="BJ17">
        <v>13</v>
      </c>
      <c r="BK17">
        <v>16</v>
      </c>
      <c r="BL17">
        <v>-3</v>
      </c>
      <c r="BM17">
        <v>-5</v>
      </c>
    </row>
    <row r="18" spans="1:68">
      <c r="A18" t="s">
        <v>1311</v>
      </c>
      <c r="B18" s="90">
        <v>1</v>
      </c>
      <c r="C18" t="s">
        <v>1022</v>
      </c>
      <c r="D18" t="s">
        <v>1098</v>
      </c>
      <c r="E18" s="90">
        <f t="shared" si="1"/>
        <v>-8</v>
      </c>
      <c r="F18" s="90">
        <v>0</v>
      </c>
      <c r="G18" s="90">
        <v>-2</v>
      </c>
      <c r="H18" s="90">
        <v>0</v>
      </c>
      <c r="I18" s="90">
        <v>0</v>
      </c>
      <c r="J18" s="90">
        <v>0</v>
      </c>
      <c r="K18" s="90">
        <v>0</v>
      </c>
      <c r="L18" s="90">
        <v>0</v>
      </c>
      <c r="M18" s="90">
        <f t="shared" si="0"/>
        <v>10</v>
      </c>
      <c r="N18" s="90">
        <f t="shared" si="0"/>
        <v>15</v>
      </c>
      <c r="O18" s="90">
        <v>-2</v>
      </c>
      <c r="P18" s="90">
        <v>-8</v>
      </c>
      <c r="Q18" s="90" t="s">
        <v>2141</v>
      </c>
      <c r="R18" s="90" t="s">
        <v>2141</v>
      </c>
      <c r="S18" s="90" t="s">
        <v>2141</v>
      </c>
      <c r="T18" s="90" t="s">
        <v>2141</v>
      </c>
      <c r="U18" s="90" t="s">
        <v>2141</v>
      </c>
      <c r="V18" s="90"/>
      <c r="W18" s="168" t="s">
        <v>1812</v>
      </c>
      <c r="X18" s="90" t="s">
        <v>1514</v>
      </c>
      <c r="Y18" s="90" t="s">
        <v>1977</v>
      </c>
      <c r="Z18" s="90" t="s">
        <v>1977</v>
      </c>
      <c r="AA18" s="90" t="s">
        <v>1977</v>
      </c>
      <c r="AB18" s="90" t="s">
        <v>1977</v>
      </c>
      <c r="AC18" s="90" t="s">
        <v>1977</v>
      </c>
      <c r="AD18" s="99">
        <v>5</v>
      </c>
      <c r="AE18" s="99">
        <v>6</v>
      </c>
      <c r="AF18" s="99" t="s">
        <v>1977</v>
      </c>
      <c r="AG18" s="99" t="s">
        <v>1977</v>
      </c>
      <c r="AH18" s="99" t="s">
        <v>1977</v>
      </c>
      <c r="AI18" s="99" t="s">
        <v>1977</v>
      </c>
      <c r="AJ18" s="99" t="s">
        <v>1977</v>
      </c>
      <c r="AK18" s="99" t="s">
        <v>1977</v>
      </c>
      <c r="AL18" s="99" t="s">
        <v>1977</v>
      </c>
      <c r="AM18" s="99" t="s">
        <v>1977</v>
      </c>
      <c r="AN18" s="99" t="s">
        <v>1977</v>
      </c>
      <c r="AO18" t="s">
        <v>1977</v>
      </c>
      <c r="AP18" t="s">
        <v>1977</v>
      </c>
      <c r="AQ18" t="s">
        <v>1977</v>
      </c>
      <c r="AR18" t="s">
        <v>1977</v>
      </c>
      <c r="AS18" t="s">
        <v>1977</v>
      </c>
      <c r="AT18" t="s">
        <v>1977</v>
      </c>
      <c r="AU18" t="s">
        <v>1977</v>
      </c>
      <c r="AV18" t="s">
        <v>1977</v>
      </c>
      <c r="AW18" t="s">
        <v>1977</v>
      </c>
      <c r="AX18">
        <v>-7</v>
      </c>
      <c r="BA18" t="s">
        <v>1311</v>
      </c>
      <c r="BB18">
        <v>1</v>
      </c>
      <c r="BC18" t="s">
        <v>1022</v>
      </c>
      <c r="BD18" t="s">
        <v>2003</v>
      </c>
      <c r="BE18" t="s">
        <v>2151</v>
      </c>
      <c r="BF18">
        <v>-2</v>
      </c>
      <c r="BG18" t="s">
        <v>1633</v>
      </c>
      <c r="BH18" t="s">
        <v>1633</v>
      </c>
      <c r="BI18" t="s">
        <v>2343</v>
      </c>
      <c r="BJ18">
        <v>10</v>
      </c>
      <c r="BK18">
        <v>12</v>
      </c>
      <c r="BL18">
        <v>-3</v>
      </c>
      <c r="BM18">
        <v>-3</v>
      </c>
    </row>
    <row r="19" spans="1:68">
      <c r="A19" t="s">
        <v>1313</v>
      </c>
      <c r="B19" s="90" t="s">
        <v>2344</v>
      </c>
      <c r="C19" t="s">
        <v>1022</v>
      </c>
      <c r="D19" t="s">
        <v>1098</v>
      </c>
      <c r="E19" s="90">
        <f t="shared" si="1"/>
        <v>-1</v>
      </c>
      <c r="F19" s="90">
        <v>0</v>
      </c>
      <c r="G19" s="90">
        <v>-2</v>
      </c>
      <c r="H19" s="90">
        <v>0</v>
      </c>
      <c r="I19" s="90">
        <v>0</v>
      </c>
      <c r="J19" s="90">
        <v>0</v>
      </c>
      <c r="K19" s="90">
        <v>0</v>
      </c>
      <c r="L19" s="90">
        <v>0</v>
      </c>
      <c r="M19" s="90">
        <f t="shared" si="0"/>
        <v>10</v>
      </c>
      <c r="N19" s="90">
        <f t="shared" si="0"/>
        <v>15</v>
      </c>
      <c r="O19" s="90">
        <v>-2</v>
      </c>
      <c r="P19" s="90">
        <v>-1</v>
      </c>
      <c r="Q19" s="90" t="s">
        <v>2141</v>
      </c>
      <c r="R19" s="90" t="s">
        <v>2141</v>
      </c>
      <c r="S19" s="90" t="s">
        <v>2141</v>
      </c>
      <c r="T19" s="90" t="s">
        <v>2141</v>
      </c>
      <c r="U19" s="90" t="s">
        <v>2141</v>
      </c>
      <c r="V19" s="90"/>
      <c r="W19" s="168" t="s">
        <v>2360</v>
      </c>
      <c r="X19" s="90"/>
      <c r="Y19" s="90" t="s">
        <v>1977</v>
      </c>
      <c r="Z19" s="90" t="s">
        <v>1977</v>
      </c>
      <c r="AA19" s="90" t="s">
        <v>1977</v>
      </c>
      <c r="AB19" s="90" t="s">
        <v>1977</v>
      </c>
      <c r="AC19" s="90" t="s">
        <v>1977</v>
      </c>
      <c r="AD19" s="99">
        <v>4.5</v>
      </c>
      <c r="AE19" s="99">
        <v>8.5</v>
      </c>
      <c r="AF19" s="99" t="s">
        <v>2360</v>
      </c>
      <c r="AG19" s="99" t="s">
        <v>1977</v>
      </c>
      <c r="AH19" s="99" t="s">
        <v>1977</v>
      </c>
      <c r="AI19" s="99" t="s">
        <v>1977</v>
      </c>
      <c r="AJ19" s="99" t="s">
        <v>1977</v>
      </c>
      <c r="AK19" s="99" t="s">
        <v>1977</v>
      </c>
      <c r="AL19" s="99" t="s">
        <v>1977</v>
      </c>
      <c r="AM19" s="99" t="s">
        <v>1977</v>
      </c>
      <c r="AN19" t="s">
        <v>1977</v>
      </c>
      <c r="AO19" t="s">
        <v>1977</v>
      </c>
      <c r="AP19" t="s">
        <v>1977</v>
      </c>
      <c r="AQ19" t="s">
        <v>1977</v>
      </c>
      <c r="AR19" t="s">
        <v>1977</v>
      </c>
      <c r="AS19" t="s">
        <v>1977</v>
      </c>
      <c r="AT19" t="s">
        <v>1977</v>
      </c>
      <c r="AU19" t="s">
        <v>1977</v>
      </c>
      <c r="AV19" t="s">
        <v>1977</v>
      </c>
      <c r="AW19" t="s">
        <v>1977</v>
      </c>
      <c r="AX19">
        <v>-2</v>
      </c>
      <c r="BA19" t="s">
        <v>1313</v>
      </c>
      <c r="BB19" t="s">
        <v>2344</v>
      </c>
      <c r="BC19" t="s">
        <v>1022</v>
      </c>
      <c r="BD19" t="s">
        <v>2003</v>
      </c>
      <c r="BE19" t="s">
        <v>2151</v>
      </c>
      <c r="BF19">
        <v>-2</v>
      </c>
      <c r="BG19" t="s">
        <v>1314</v>
      </c>
      <c r="BH19" t="s">
        <v>1315</v>
      </c>
      <c r="BI19" t="s">
        <v>1316</v>
      </c>
      <c r="BJ19">
        <v>9</v>
      </c>
      <c r="BK19">
        <v>17</v>
      </c>
      <c r="BL19">
        <v>-1</v>
      </c>
      <c r="BM19">
        <v>-2</v>
      </c>
    </row>
    <row r="20" spans="1:68">
      <c r="A20" t="s">
        <v>1291</v>
      </c>
      <c r="B20" s="90" t="s">
        <v>2344</v>
      </c>
      <c r="C20" t="s">
        <v>1317</v>
      </c>
      <c r="D20" t="s">
        <v>1619</v>
      </c>
      <c r="E20" s="90">
        <f t="shared" si="1"/>
        <v>3</v>
      </c>
      <c r="F20" s="90">
        <v>-2</v>
      </c>
      <c r="G20" s="90">
        <v>2</v>
      </c>
      <c r="H20" s="90">
        <v>0</v>
      </c>
      <c r="I20" s="90">
        <v>0</v>
      </c>
      <c r="J20" s="90">
        <v>0</v>
      </c>
      <c r="K20" s="90">
        <v>0</v>
      </c>
      <c r="L20" s="90">
        <v>0</v>
      </c>
      <c r="M20" s="90">
        <f t="shared" si="0"/>
        <v>10</v>
      </c>
      <c r="N20" s="90">
        <f t="shared" si="0"/>
        <v>10</v>
      </c>
      <c r="O20" s="90">
        <v>-2</v>
      </c>
      <c r="P20" s="90">
        <v>3</v>
      </c>
      <c r="Q20" s="90" t="s">
        <v>1943</v>
      </c>
      <c r="R20" s="90" t="s">
        <v>1943</v>
      </c>
      <c r="S20" s="90" t="s">
        <v>1943</v>
      </c>
      <c r="T20" s="90" t="s">
        <v>1943</v>
      </c>
      <c r="U20" s="90" t="s">
        <v>1943</v>
      </c>
      <c r="V20" s="90"/>
      <c r="W20" s="168" t="s">
        <v>1812</v>
      </c>
      <c r="X20" s="90" t="s">
        <v>1019</v>
      </c>
      <c r="Y20" s="90" t="s">
        <v>1514</v>
      </c>
      <c r="Z20" s="90" t="s">
        <v>1977</v>
      </c>
      <c r="AA20" s="90" t="s">
        <v>1977</v>
      </c>
      <c r="AB20" s="90" t="s">
        <v>1977</v>
      </c>
      <c r="AC20" s="90" t="s">
        <v>1977</v>
      </c>
      <c r="AD20" s="99">
        <v>5</v>
      </c>
      <c r="AE20" s="99">
        <v>7</v>
      </c>
      <c r="AF20" s="99" t="s">
        <v>1977</v>
      </c>
      <c r="AG20" s="99" t="s">
        <v>1977</v>
      </c>
      <c r="AH20" s="99" t="s">
        <v>1977</v>
      </c>
      <c r="AI20" s="99" t="s">
        <v>1977</v>
      </c>
      <c r="AJ20" s="99" t="s">
        <v>1977</v>
      </c>
      <c r="AK20" s="99" t="s">
        <v>1977</v>
      </c>
      <c r="AL20" s="99" t="s">
        <v>1977</v>
      </c>
      <c r="AM20" s="99" t="s">
        <v>1977</v>
      </c>
      <c r="AN20" t="s">
        <v>1977</v>
      </c>
      <c r="AO20" t="s">
        <v>1977</v>
      </c>
      <c r="AP20" t="s">
        <v>1977</v>
      </c>
      <c r="AQ20" t="s">
        <v>1977</v>
      </c>
      <c r="AR20" t="s">
        <v>1977</v>
      </c>
      <c r="AS20" t="s">
        <v>1977</v>
      </c>
      <c r="AT20" t="s">
        <v>1977</v>
      </c>
      <c r="AU20" t="s">
        <v>1977</v>
      </c>
      <c r="AV20" t="s">
        <v>1977</v>
      </c>
      <c r="AW20" t="s">
        <v>1977</v>
      </c>
      <c r="AX20">
        <v>15</v>
      </c>
      <c r="BA20" t="s">
        <v>1291</v>
      </c>
      <c r="BB20" t="s">
        <v>2344</v>
      </c>
      <c r="BC20" t="s">
        <v>1317</v>
      </c>
      <c r="BD20" t="s">
        <v>1318</v>
      </c>
      <c r="BE20">
        <v>0</v>
      </c>
      <c r="BF20">
        <v>-2</v>
      </c>
      <c r="BG20" t="s">
        <v>1462</v>
      </c>
      <c r="BH20" t="s">
        <v>1469</v>
      </c>
      <c r="BI20" t="s">
        <v>2055</v>
      </c>
      <c r="BJ20">
        <v>10</v>
      </c>
      <c r="BK20">
        <v>14</v>
      </c>
      <c r="BL20">
        <v>2</v>
      </c>
      <c r="BM20">
        <v>5</v>
      </c>
    </row>
    <row r="21" spans="1:68">
      <c r="A21" t="s">
        <v>2056</v>
      </c>
      <c r="B21" s="90">
        <v>1</v>
      </c>
      <c r="C21" t="s">
        <v>1022</v>
      </c>
      <c r="D21" t="s">
        <v>1109</v>
      </c>
      <c r="E21" s="90">
        <f t="shared" si="1"/>
        <v>7</v>
      </c>
      <c r="F21" s="90">
        <v>0</v>
      </c>
      <c r="G21" s="90">
        <v>0</v>
      </c>
      <c r="H21" s="90">
        <v>0</v>
      </c>
      <c r="I21" s="90">
        <v>0</v>
      </c>
      <c r="J21" s="90">
        <v>0</v>
      </c>
      <c r="K21" s="90">
        <v>0</v>
      </c>
      <c r="L21" s="90">
        <v>0</v>
      </c>
      <c r="M21" s="90">
        <f t="shared" si="0"/>
        <v>10</v>
      </c>
      <c r="N21" s="90">
        <f t="shared" si="0"/>
        <v>15</v>
      </c>
      <c r="O21" s="90">
        <v>0</v>
      </c>
      <c r="P21" s="90">
        <v>7</v>
      </c>
      <c r="Q21" s="90" t="s">
        <v>1519</v>
      </c>
      <c r="R21" s="90" t="s">
        <v>1519</v>
      </c>
      <c r="S21" s="90" t="s">
        <v>1519</v>
      </c>
      <c r="T21" s="90" t="s">
        <v>1519</v>
      </c>
      <c r="U21" s="90" t="s">
        <v>1519</v>
      </c>
      <c r="V21" s="90"/>
      <c r="W21" s="168" t="s">
        <v>1990</v>
      </c>
      <c r="X21" s="90" t="s">
        <v>1514</v>
      </c>
      <c r="Y21" s="90" t="s">
        <v>1496</v>
      </c>
      <c r="Z21" s="90" t="s">
        <v>1977</v>
      </c>
      <c r="AA21" s="90" t="s">
        <v>1977</v>
      </c>
      <c r="AB21" s="90" t="s">
        <v>1977</v>
      </c>
      <c r="AC21" s="90" t="s">
        <v>1977</v>
      </c>
      <c r="AD21" s="99">
        <v>3.5</v>
      </c>
      <c r="AE21" s="99">
        <v>1.5</v>
      </c>
      <c r="AF21" s="99" t="s">
        <v>1977</v>
      </c>
      <c r="AG21" s="99" t="s">
        <v>1977</v>
      </c>
      <c r="AH21" s="99" t="s">
        <v>1977</v>
      </c>
      <c r="AI21" s="99" t="s">
        <v>1977</v>
      </c>
      <c r="AJ21" s="99" t="s">
        <v>1977</v>
      </c>
      <c r="AK21" s="99" t="s">
        <v>1977</v>
      </c>
      <c r="AL21" s="99" t="s">
        <v>1977</v>
      </c>
      <c r="AM21" s="99" t="s">
        <v>1977</v>
      </c>
      <c r="AN21" t="s">
        <v>1977</v>
      </c>
      <c r="AO21" t="s">
        <v>1977</v>
      </c>
      <c r="AP21" t="s">
        <v>1977</v>
      </c>
      <c r="AQ21" t="s">
        <v>1977</v>
      </c>
      <c r="AR21" t="s">
        <v>1977</v>
      </c>
      <c r="AS21" t="s">
        <v>1977</v>
      </c>
      <c r="AT21" t="s">
        <v>1977</v>
      </c>
      <c r="AU21" t="s">
        <v>1977</v>
      </c>
      <c r="AV21" t="s">
        <v>1977</v>
      </c>
      <c r="AW21" t="s">
        <v>1977</v>
      </c>
      <c r="AX21">
        <v>0</v>
      </c>
      <c r="BA21" t="s">
        <v>2056</v>
      </c>
      <c r="BB21">
        <v>1</v>
      </c>
      <c r="BC21" t="s">
        <v>1022</v>
      </c>
      <c r="BD21" t="s">
        <v>1023</v>
      </c>
      <c r="BE21" t="s">
        <v>2057</v>
      </c>
      <c r="BF21">
        <v>0</v>
      </c>
      <c r="BG21" t="s">
        <v>1772</v>
      </c>
      <c r="BH21" t="s">
        <v>1633</v>
      </c>
      <c r="BI21" t="s">
        <v>1703</v>
      </c>
      <c r="BJ21">
        <v>7</v>
      </c>
      <c r="BK21">
        <v>3</v>
      </c>
      <c r="BL21">
        <v>5</v>
      </c>
      <c r="BM21">
        <v>6</v>
      </c>
    </row>
    <row r="22" spans="1:68">
      <c r="A22" t="s">
        <v>1773</v>
      </c>
      <c r="B22" s="90">
        <v>1</v>
      </c>
      <c r="C22" t="s">
        <v>1317</v>
      </c>
      <c r="D22" t="s">
        <v>1619</v>
      </c>
      <c r="E22" s="90">
        <f t="shared" si="1"/>
        <v>-3</v>
      </c>
      <c r="F22" s="90">
        <v>0</v>
      </c>
      <c r="G22" s="90">
        <v>3</v>
      </c>
      <c r="H22" s="90">
        <v>0</v>
      </c>
      <c r="I22" s="90">
        <v>0</v>
      </c>
      <c r="J22" s="90">
        <v>0</v>
      </c>
      <c r="K22" s="90">
        <v>0</v>
      </c>
      <c r="L22" s="90">
        <v>0</v>
      </c>
      <c r="M22" s="90">
        <f t="shared" si="0"/>
        <v>10</v>
      </c>
      <c r="N22" s="90">
        <f t="shared" si="0"/>
        <v>10</v>
      </c>
      <c r="O22" s="90">
        <v>3</v>
      </c>
      <c r="P22" s="90">
        <v>-3</v>
      </c>
      <c r="Q22" s="90" t="s">
        <v>1810</v>
      </c>
      <c r="R22" s="90" t="s">
        <v>1810</v>
      </c>
      <c r="S22" s="90" t="s">
        <v>1943</v>
      </c>
      <c r="T22" s="90" t="s">
        <v>1810</v>
      </c>
      <c r="U22" s="90" t="s">
        <v>1943</v>
      </c>
      <c r="V22" s="90"/>
      <c r="W22" s="168" t="s">
        <v>2197</v>
      </c>
      <c r="X22" s="90" t="s">
        <v>2278</v>
      </c>
      <c r="Y22" s="90" t="s">
        <v>1977</v>
      </c>
      <c r="Z22" s="90" t="s">
        <v>1977</v>
      </c>
      <c r="AA22" s="90" t="s">
        <v>1977</v>
      </c>
      <c r="AB22" s="90" t="s">
        <v>1977</v>
      </c>
      <c r="AC22" s="90" t="s">
        <v>1977</v>
      </c>
      <c r="AD22" s="99">
        <v>3.5</v>
      </c>
      <c r="AE22" s="99">
        <v>3.5</v>
      </c>
      <c r="AF22" s="99" t="s">
        <v>1977</v>
      </c>
      <c r="AG22" s="99" t="s">
        <v>1977</v>
      </c>
      <c r="AH22" s="99" t="s">
        <v>1977</v>
      </c>
      <c r="AI22" s="99" t="s">
        <v>1977</v>
      </c>
      <c r="AJ22" s="99" t="s">
        <v>1977</v>
      </c>
      <c r="AK22" s="99" t="s">
        <v>1977</v>
      </c>
      <c r="AL22" s="99" t="s">
        <v>1604</v>
      </c>
      <c r="AM22" s="99" t="s">
        <v>1977</v>
      </c>
      <c r="AN22" t="s">
        <v>1027</v>
      </c>
      <c r="AO22" t="s">
        <v>1977</v>
      </c>
      <c r="AP22" t="s">
        <v>1977</v>
      </c>
      <c r="AQ22" t="s">
        <v>1977</v>
      </c>
      <c r="AR22" t="s">
        <v>1977</v>
      </c>
      <c r="AS22" t="s">
        <v>1977</v>
      </c>
      <c r="AT22" t="s">
        <v>1977</v>
      </c>
      <c r="AU22" t="s">
        <v>1977</v>
      </c>
      <c r="AV22" t="s">
        <v>1977</v>
      </c>
      <c r="AW22" t="s">
        <v>1977</v>
      </c>
      <c r="AX22">
        <v>15</v>
      </c>
      <c r="BA22" t="s">
        <v>1773</v>
      </c>
      <c r="BB22">
        <v>1</v>
      </c>
      <c r="BC22" t="s">
        <v>1317</v>
      </c>
      <c r="BD22" t="s">
        <v>1318</v>
      </c>
      <c r="BE22" t="s">
        <v>1774</v>
      </c>
      <c r="BF22">
        <v>3</v>
      </c>
      <c r="BG22" t="s">
        <v>942</v>
      </c>
      <c r="BH22" t="s">
        <v>943</v>
      </c>
      <c r="BI22" t="s">
        <v>2055</v>
      </c>
      <c r="BJ22" t="s">
        <v>944</v>
      </c>
      <c r="BK22" t="s">
        <v>944</v>
      </c>
      <c r="BL22">
        <v>-3</v>
      </c>
      <c r="BM22">
        <v>-4</v>
      </c>
      <c r="BP22" t="s">
        <v>945</v>
      </c>
    </row>
    <row r="23" spans="1:68">
      <c r="A23" t="s">
        <v>1286</v>
      </c>
      <c r="B23" s="90" t="s">
        <v>2344</v>
      </c>
      <c r="C23" t="s">
        <v>1022</v>
      </c>
      <c r="D23" t="s">
        <v>1098</v>
      </c>
      <c r="E23" s="90">
        <f t="shared" si="1"/>
        <v>-2</v>
      </c>
      <c r="F23" s="90">
        <v>0</v>
      </c>
      <c r="G23" s="90">
        <v>2</v>
      </c>
      <c r="H23" s="90">
        <v>0</v>
      </c>
      <c r="I23" s="90">
        <v>0</v>
      </c>
      <c r="J23" s="90">
        <v>0</v>
      </c>
      <c r="K23" s="90">
        <v>0</v>
      </c>
      <c r="L23" s="90">
        <v>0</v>
      </c>
      <c r="M23" s="90">
        <f t="shared" si="0"/>
        <v>10</v>
      </c>
      <c r="N23" s="90">
        <f t="shared" si="0"/>
        <v>15</v>
      </c>
      <c r="O23" s="90">
        <v>2</v>
      </c>
      <c r="P23" s="90">
        <v>-2</v>
      </c>
      <c r="Q23" s="90" t="s">
        <v>1810</v>
      </c>
      <c r="R23" s="90" t="s">
        <v>1810</v>
      </c>
      <c r="S23" s="90" t="s">
        <v>1810</v>
      </c>
      <c r="T23" s="90" t="s">
        <v>1810</v>
      </c>
      <c r="U23" s="90" t="s">
        <v>1810</v>
      </c>
      <c r="V23" s="90"/>
      <c r="W23" s="168" t="s">
        <v>1812</v>
      </c>
      <c r="X23" s="90" t="s">
        <v>2361</v>
      </c>
      <c r="Y23" s="90" t="s">
        <v>2361</v>
      </c>
      <c r="Z23" s="90" t="s">
        <v>1977</v>
      </c>
      <c r="AA23" s="90" t="s">
        <v>1977</v>
      </c>
      <c r="AB23" s="90" t="s">
        <v>1977</v>
      </c>
      <c r="AC23" s="90" t="s">
        <v>1977</v>
      </c>
      <c r="AD23" s="99">
        <v>3.5</v>
      </c>
      <c r="AE23" s="99">
        <v>3.5</v>
      </c>
      <c r="AF23" s="99" t="s">
        <v>1977</v>
      </c>
      <c r="AG23" s="99" t="s">
        <v>1977</v>
      </c>
      <c r="AH23" s="99" t="s">
        <v>1977</v>
      </c>
      <c r="AI23" s="99" t="s">
        <v>1977</v>
      </c>
      <c r="AJ23" s="99" t="s">
        <v>1977</v>
      </c>
      <c r="AK23" s="99" t="s">
        <v>1977</v>
      </c>
      <c r="AL23" s="99" t="s">
        <v>1977</v>
      </c>
      <c r="AM23" s="99" t="s">
        <v>1977</v>
      </c>
      <c r="AN23" t="s">
        <v>1977</v>
      </c>
      <c r="AO23" t="s">
        <v>1977</v>
      </c>
      <c r="AP23" t="s">
        <v>1977</v>
      </c>
      <c r="AQ23" t="s">
        <v>1977</v>
      </c>
      <c r="AR23" t="s">
        <v>1977</v>
      </c>
      <c r="AS23" t="s">
        <v>1977</v>
      </c>
      <c r="AT23" t="s">
        <v>1977</v>
      </c>
      <c r="AU23" t="s">
        <v>1977</v>
      </c>
      <c r="AV23" t="s">
        <v>1977</v>
      </c>
      <c r="AW23" t="s">
        <v>1977</v>
      </c>
      <c r="AX23">
        <v>0</v>
      </c>
      <c r="BA23" t="s">
        <v>1286</v>
      </c>
      <c r="BB23" t="s">
        <v>2344</v>
      </c>
      <c r="BC23" t="s">
        <v>1022</v>
      </c>
      <c r="BD23" t="s">
        <v>2003</v>
      </c>
      <c r="BE23" t="s">
        <v>2273</v>
      </c>
      <c r="BF23">
        <v>2</v>
      </c>
      <c r="BG23" t="s">
        <v>1579</v>
      </c>
      <c r="BH23" t="s">
        <v>1247</v>
      </c>
      <c r="BI23" t="s">
        <v>1703</v>
      </c>
      <c r="BJ23">
        <v>7</v>
      </c>
      <c r="BK23">
        <v>7</v>
      </c>
      <c r="BL23">
        <v>-1</v>
      </c>
      <c r="BM23">
        <v>-1</v>
      </c>
    </row>
    <row r="24" spans="1:68">
      <c r="A24" t="s">
        <v>940</v>
      </c>
      <c r="B24" s="90" t="s">
        <v>2343</v>
      </c>
      <c r="C24" t="s">
        <v>1022</v>
      </c>
      <c r="D24" t="s">
        <v>1109</v>
      </c>
      <c r="E24" s="90">
        <f t="shared" si="1"/>
        <v>-3</v>
      </c>
      <c r="F24" s="90">
        <v>0</v>
      </c>
      <c r="G24" s="90">
        <v>5</v>
      </c>
      <c r="H24" s="90">
        <v>0</v>
      </c>
      <c r="I24" s="90">
        <v>0</v>
      </c>
      <c r="J24" s="90">
        <v>0</v>
      </c>
      <c r="K24" s="90">
        <v>0</v>
      </c>
      <c r="L24" s="90">
        <v>0</v>
      </c>
      <c r="M24" s="90">
        <f t="shared" si="0"/>
        <v>10</v>
      </c>
      <c r="N24" s="90">
        <f t="shared" si="0"/>
        <v>15</v>
      </c>
      <c r="O24" s="90">
        <v>5</v>
      </c>
      <c r="P24" s="90">
        <v>-3</v>
      </c>
      <c r="Q24" s="90" t="s">
        <v>1943</v>
      </c>
      <c r="R24" s="90" t="s">
        <v>1943</v>
      </c>
      <c r="S24" s="90" t="s">
        <v>1943</v>
      </c>
      <c r="T24" s="90" t="s">
        <v>1943</v>
      </c>
      <c r="U24" s="90" t="s">
        <v>1943</v>
      </c>
      <c r="V24" s="90"/>
      <c r="W24" s="168" t="s">
        <v>1292</v>
      </c>
      <c r="X24" s="90" t="s">
        <v>1514</v>
      </c>
      <c r="Y24" s="90" t="s">
        <v>1977</v>
      </c>
      <c r="Z24" s="90" t="s">
        <v>1977</v>
      </c>
      <c r="AA24" s="90" t="s">
        <v>1977</v>
      </c>
      <c r="AB24" s="90" t="s">
        <v>1977</v>
      </c>
      <c r="AC24" s="90" t="s">
        <v>1977</v>
      </c>
      <c r="AD24" s="99">
        <v>4.5</v>
      </c>
      <c r="AE24" s="99">
        <v>4</v>
      </c>
      <c r="AF24" s="99" t="s">
        <v>1977</v>
      </c>
      <c r="AG24" s="99" t="s">
        <v>1977</v>
      </c>
      <c r="AH24" s="99" t="s">
        <v>1977</v>
      </c>
      <c r="AI24" s="99" t="s">
        <v>1977</v>
      </c>
      <c r="AJ24" s="99" t="s">
        <v>1977</v>
      </c>
      <c r="AK24" s="99" t="s">
        <v>1977</v>
      </c>
      <c r="AL24" s="99" t="s">
        <v>1605</v>
      </c>
      <c r="AM24" s="99" t="s">
        <v>1977</v>
      </c>
      <c r="AN24" t="s">
        <v>1027</v>
      </c>
      <c r="AO24" t="s">
        <v>1977</v>
      </c>
      <c r="AP24" t="s">
        <v>1977</v>
      </c>
      <c r="AQ24" t="s">
        <v>1977</v>
      </c>
      <c r="AR24" t="s">
        <v>1977</v>
      </c>
      <c r="AS24" t="s">
        <v>1977</v>
      </c>
      <c r="AT24" t="s">
        <v>1977</v>
      </c>
      <c r="AU24" t="s">
        <v>1977</v>
      </c>
      <c r="AV24" t="s">
        <v>1977</v>
      </c>
      <c r="AW24" t="s">
        <v>1977</v>
      </c>
      <c r="AX24">
        <v>0</v>
      </c>
      <c r="BA24" t="s">
        <v>940</v>
      </c>
      <c r="BB24" t="s">
        <v>2343</v>
      </c>
      <c r="BC24" t="s">
        <v>1022</v>
      </c>
      <c r="BD24" t="s">
        <v>1023</v>
      </c>
      <c r="BE24">
        <v>0</v>
      </c>
      <c r="BF24">
        <v>5</v>
      </c>
      <c r="BG24" t="s">
        <v>1633</v>
      </c>
      <c r="BH24" t="s">
        <v>1633</v>
      </c>
      <c r="BI24" t="s">
        <v>1703</v>
      </c>
      <c r="BJ24">
        <v>9</v>
      </c>
      <c r="BK24">
        <v>8</v>
      </c>
      <c r="BL24">
        <v>-2</v>
      </c>
      <c r="BM24">
        <v>-2</v>
      </c>
      <c r="BP24" t="s">
        <v>1292</v>
      </c>
    </row>
    <row r="25" spans="1:68">
      <c r="A25" t="s">
        <v>1293</v>
      </c>
      <c r="B25" s="90">
        <v>1</v>
      </c>
      <c r="C25" t="s">
        <v>2277</v>
      </c>
      <c r="D25" t="s">
        <v>2003</v>
      </c>
      <c r="E25" s="90">
        <f t="shared" si="1"/>
        <v>4</v>
      </c>
      <c r="F25" s="90">
        <v>0</v>
      </c>
      <c r="G25" s="90">
        <v>2</v>
      </c>
      <c r="H25" s="90">
        <v>0</v>
      </c>
      <c r="I25" s="90">
        <v>0</v>
      </c>
      <c r="J25" s="90">
        <v>0</v>
      </c>
      <c r="K25" s="90">
        <v>0</v>
      </c>
      <c r="L25" s="90">
        <v>0</v>
      </c>
      <c r="M25" s="90">
        <f t="shared" si="0"/>
        <v>10</v>
      </c>
      <c r="N25" s="90">
        <f t="shared" si="0"/>
        <v>10</v>
      </c>
      <c r="O25" s="90">
        <v>2</v>
      </c>
      <c r="P25" s="90">
        <v>4</v>
      </c>
      <c r="Q25" s="90" t="s">
        <v>1810</v>
      </c>
      <c r="R25" s="90" t="s">
        <v>1810</v>
      </c>
      <c r="S25" s="90" t="s">
        <v>1810</v>
      </c>
      <c r="T25" s="90" t="s">
        <v>1810</v>
      </c>
      <c r="U25" s="90" t="s">
        <v>1810</v>
      </c>
      <c r="V25" s="90"/>
      <c r="W25" s="168" t="s">
        <v>2359</v>
      </c>
      <c r="X25" s="90" t="s">
        <v>1514</v>
      </c>
      <c r="Y25" s="90" t="s">
        <v>1977</v>
      </c>
      <c r="Z25" s="90" t="s">
        <v>1977</v>
      </c>
      <c r="AA25" s="90" t="s">
        <v>1977</v>
      </c>
      <c r="AB25" s="90" t="s">
        <v>1977</v>
      </c>
      <c r="AC25" s="90" t="s">
        <v>1977</v>
      </c>
      <c r="AD25" s="99">
        <v>5.5</v>
      </c>
      <c r="AE25" s="99">
        <v>1.5</v>
      </c>
      <c r="AF25" s="99" t="s">
        <v>1977</v>
      </c>
      <c r="AG25" s="99" t="s">
        <v>1977</v>
      </c>
      <c r="AH25" s="99" t="s">
        <v>1977</v>
      </c>
      <c r="AI25" s="99" t="s">
        <v>1977</v>
      </c>
      <c r="AJ25" s="99" t="s">
        <v>1977</v>
      </c>
      <c r="AK25" s="99" t="s">
        <v>1977</v>
      </c>
      <c r="AL25" s="99" t="s">
        <v>2283</v>
      </c>
      <c r="AM25" s="99" t="s">
        <v>1977</v>
      </c>
      <c r="AN25" t="s">
        <v>1027</v>
      </c>
      <c r="AO25" t="s">
        <v>1977</v>
      </c>
      <c r="AP25" t="s">
        <v>1977</v>
      </c>
      <c r="AQ25" t="s">
        <v>1977</v>
      </c>
      <c r="AR25" t="s">
        <v>1977</v>
      </c>
      <c r="AS25" t="s">
        <v>1977</v>
      </c>
      <c r="AT25" t="s">
        <v>1977</v>
      </c>
      <c r="AU25" t="s">
        <v>1977</v>
      </c>
      <c r="AV25" t="s">
        <v>1977</v>
      </c>
      <c r="AW25" t="s">
        <v>1977</v>
      </c>
      <c r="AX25">
        <v>-7</v>
      </c>
      <c r="BA25" t="s">
        <v>1293</v>
      </c>
      <c r="BB25">
        <v>1</v>
      </c>
      <c r="BC25" t="s">
        <v>2277</v>
      </c>
      <c r="BD25" t="s">
        <v>2003</v>
      </c>
      <c r="BE25" t="s">
        <v>2273</v>
      </c>
      <c r="BF25">
        <v>2</v>
      </c>
      <c r="BG25" t="s">
        <v>1294</v>
      </c>
      <c r="BH25" t="s">
        <v>1295</v>
      </c>
      <c r="BI25" t="s">
        <v>2343</v>
      </c>
      <c r="BJ25">
        <v>11</v>
      </c>
      <c r="BK25">
        <v>3</v>
      </c>
      <c r="BL25">
        <v>3</v>
      </c>
      <c r="BM25">
        <v>3</v>
      </c>
    </row>
    <row r="26" spans="1:68">
      <c r="A26" t="s">
        <v>1296</v>
      </c>
      <c r="B26" s="90">
        <v>1</v>
      </c>
      <c r="C26" t="s">
        <v>1317</v>
      </c>
      <c r="D26" t="s">
        <v>1619</v>
      </c>
      <c r="E26" s="90">
        <f t="shared" si="1"/>
        <v>3</v>
      </c>
      <c r="F26" s="90">
        <v>0</v>
      </c>
      <c r="G26" s="90">
        <v>-2</v>
      </c>
      <c r="H26" s="90">
        <v>0</v>
      </c>
      <c r="I26" s="90">
        <v>0</v>
      </c>
      <c r="J26" s="90">
        <v>0</v>
      </c>
      <c r="K26" s="90">
        <v>0</v>
      </c>
      <c r="L26" s="90">
        <v>0</v>
      </c>
      <c r="M26" s="90">
        <f t="shared" si="0"/>
        <v>10</v>
      </c>
      <c r="N26" s="90">
        <f t="shared" si="0"/>
        <v>10</v>
      </c>
      <c r="O26" s="90">
        <v>-2</v>
      </c>
      <c r="P26" s="90">
        <v>3</v>
      </c>
      <c r="Q26" s="90" t="s">
        <v>1943</v>
      </c>
      <c r="R26" s="90" t="s">
        <v>1943</v>
      </c>
      <c r="S26" s="90" t="s">
        <v>1943</v>
      </c>
      <c r="T26" s="90" t="s">
        <v>1943</v>
      </c>
      <c r="U26" s="90" t="s">
        <v>1943</v>
      </c>
      <c r="V26" s="90" t="s">
        <v>1943</v>
      </c>
      <c r="W26" s="168" t="s">
        <v>1177</v>
      </c>
      <c r="X26" s="90" t="s">
        <v>2278</v>
      </c>
      <c r="Y26" s="90" t="s">
        <v>2278</v>
      </c>
      <c r="Z26" s="90" t="s">
        <v>1514</v>
      </c>
      <c r="AA26" s="90" t="s">
        <v>1977</v>
      </c>
      <c r="AB26" s="90" t="s">
        <v>1977</v>
      </c>
      <c r="AC26" s="90" t="s">
        <v>1977</v>
      </c>
      <c r="AD26" s="99">
        <v>4</v>
      </c>
      <c r="AE26" s="99">
        <v>5.5</v>
      </c>
      <c r="AF26" s="99" t="s">
        <v>1977</v>
      </c>
      <c r="AG26" s="99" t="s">
        <v>1977</v>
      </c>
      <c r="AH26" s="99" t="s">
        <v>1977</v>
      </c>
      <c r="AI26" s="99" t="s">
        <v>1977</v>
      </c>
      <c r="AJ26" s="99" t="s">
        <v>1977</v>
      </c>
      <c r="AK26" s="99" t="s">
        <v>1977</v>
      </c>
      <c r="AL26" s="99" t="s">
        <v>1977</v>
      </c>
      <c r="AM26" s="99" t="s">
        <v>1977</v>
      </c>
      <c r="AN26" t="s">
        <v>1977</v>
      </c>
      <c r="AO26" t="s">
        <v>1977</v>
      </c>
      <c r="AP26" t="s">
        <v>1977</v>
      </c>
      <c r="AQ26" t="s">
        <v>1977</v>
      </c>
      <c r="AR26" t="s">
        <v>1977</v>
      </c>
      <c r="AS26" t="s">
        <v>1977</v>
      </c>
      <c r="AT26" t="s">
        <v>1977</v>
      </c>
      <c r="AU26" t="s">
        <v>1977</v>
      </c>
      <c r="AV26" t="s">
        <v>1977</v>
      </c>
      <c r="AW26" t="s">
        <v>1977</v>
      </c>
      <c r="AX26">
        <v>10</v>
      </c>
      <c r="AY26" t="s">
        <v>2467</v>
      </c>
      <c r="BA26" t="s">
        <v>1296</v>
      </c>
      <c r="BB26">
        <v>1</v>
      </c>
      <c r="BC26" t="s">
        <v>1317</v>
      </c>
      <c r="BD26" t="s">
        <v>1318</v>
      </c>
      <c r="BE26">
        <v>0</v>
      </c>
      <c r="BF26">
        <v>-2</v>
      </c>
      <c r="BG26" t="s">
        <v>1724</v>
      </c>
      <c r="BH26" t="s">
        <v>1170</v>
      </c>
      <c r="BI26" t="s">
        <v>2182</v>
      </c>
      <c r="BJ26">
        <v>8</v>
      </c>
      <c r="BK26">
        <v>11</v>
      </c>
      <c r="BL26">
        <v>2</v>
      </c>
      <c r="BM26">
        <v>3</v>
      </c>
      <c r="BP26" t="s">
        <v>1177</v>
      </c>
    </row>
    <row r="27" spans="1:68">
      <c r="A27" t="s">
        <v>1178</v>
      </c>
      <c r="B27" s="90" t="s">
        <v>1348</v>
      </c>
      <c r="C27" t="s">
        <v>2277</v>
      </c>
      <c r="D27" t="s">
        <v>2003</v>
      </c>
      <c r="E27" s="90">
        <f t="shared" si="1"/>
        <v>-4</v>
      </c>
      <c r="F27" s="90">
        <v>0</v>
      </c>
      <c r="G27" s="90">
        <v>2</v>
      </c>
      <c r="H27" s="90">
        <v>0</v>
      </c>
      <c r="I27" s="90">
        <v>0</v>
      </c>
      <c r="J27" s="90">
        <v>0</v>
      </c>
      <c r="K27" s="90">
        <v>1</v>
      </c>
      <c r="L27" s="90">
        <v>0</v>
      </c>
      <c r="M27" s="90">
        <f t="shared" si="0"/>
        <v>10</v>
      </c>
      <c r="N27" s="90">
        <f t="shared" si="0"/>
        <v>10</v>
      </c>
      <c r="O27" s="90">
        <v>2</v>
      </c>
      <c r="P27" s="90">
        <v>-4</v>
      </c>
      <c r="Q27" s="90" t="s">
        <v>1943</v>
      </c>
      <c r="R27" s="90" t="s">
        <v>1943</v>
      </c>
      <c r="S27" s="90" t="s">
        <v>1943</v>
      </c>
      <c r="T27" s="90" t="s">
        <v>1943</v>
      </c>
      <c r="U27" s="90" t="s">
        <v>1943</v>
      </c>
      <c r="V27" s="90"/>
      <c r="W27" s="168" t="s">
        <v>1867</v>
      </c>
      <c r="X27" s="90" t="s">
        <v>2278</v>
      </c>
      <c r="Y27" s="90" t="s">
        <v>2278</v>
      </c>
      <c r="Z27" s="90" t="s">
        <v>1514</v>
      </c>
      <c r="AA27" s="90" t="s">
        <v>1977</v>
      </c>
      <c r="AB27" s="90" t="s">
        <v>1977</v>
      </c>
      <c r="AC27" s="90" t="s">
        <v>1977</v>
      </c>
      <c r="AD27" s="99">
        <v>5.5</v>
      </c>
      <c r="AE27" s="99">
        <v>5.5</v>
      </c>
      <c r="AF27" s="99" t="s">
        <v>1977</v>
      </c>
      <c r="AG27" s="99" t="s">
        <v>1977</v>
      </c>
      <c r="AH27" s="99" t="s">
        <v>2284</v>
      </c>
      <c r="AI27" s="99" t="s">
        <v>1977</v>
      </c>
      <c r="AJ27" s="99" t="s">
        <v>1977</v>
      </c>
      <c r="AK27" s="99" t="s">
        <v>1977</v>
      </c>
      <c r="AL27" s="99" t="s">
        <v>2285</v>
      </c>
      <c r="AM27" s="99" t="s">
        <v>1977</v>
      </c>
      <c r="AN27" s="99" t="s">
        <v>1846</v>
      </c>
      <c r="AO27" t="s">
        <v>1977</v>
      </c>
      <c r="AP27" t="s">
        <v>1977</v>
      </c>
      <c r="AQ27" t="s">
        <v>1977</v>
      </c>
      <c r="AR27" t="s">
        <v>1977</v>
      </c>
      <c r="AS27" t="s">
        <v>1977</v>
      </c>
      <c r="AT27" t="s">
        <v>1977</v>
      </c>
      <c r="AU27" t="s">
        <v>1977</v>
      </c>
      <c r="AV27" t="s">
        <v>1977</v>
      </c>
      <c r="AW27" t="s">
        <v>1977</v>
      </c>
      <c r="AX27">
        <v>0</v>
      </c>
      <c r="BA27" t="s">
        <v>1178</v>
      </c>
      <c r="BB27" t="s">
        <v>1348</v>
      </c>
      <c r="BC27" t="s">
        <v>2277</v>
      </c>
      <c r="BD27" t="s">
        <v>1018</v>
      </c>
      <c r="BE27">
        <v>0</v>
      </c>
      <c r="BF27">
        <v>2</v>
      </c>
      <c r="BG27" t="s">
        <v>1724</v>
      </c>
      <c r="BH27" t="s">
        <v>1580</v>
      </c>
      <c r="BI27" t="s">
        <v>1703</v>
      </c>
      <c r="BJ27">
        <v>11</v>
      </c>
      <c r="BK27">
        <v>11</v>
      </c>
      <c r="BL27">
        <v>-2</v>
      </c>
      <c r="BM27">
        <v>-3</v>
      </c>
      <c r="BN27" t="s">
        <v>1581</v>
      </c>
      <c r="BO27" t="s">
        <v>1167</v>
      </c>
      <c r="BP27" t="s">
        <v>1168</v>
      </c>
    </row>
    <row r="28" spans="1:68">
      <c r="A28" t="s">
        <v>1169</v>
      </c>
      <c r="B28" s="90">
        <v>1</v>
      </c>
      <c r="C28" t="s">
        <v>1317</v>
      </c>
      <c r="D28" t="s">
        <v>1619</v>
      </c>
      <c r="E28" s="90">
        <f t="shared" si="1"/>
        <v>2</v>
      </c>
      <c r="F28" s="90">
        <v>0</v>
      </c>
      <c r="G28" s="90">
        <v>0</v>
      </c>
      <c r="H28" s="90">
        <v>0</v>
      </c>
      <c r="I28" s="90">
        <v>0</v>
      </c>
      <c r="J28" s="90">
        <v>0</v>
      </c>
      <c r="K28" s="90">
        <v>0</v>
      </c>
      <c r="L28" s="90">
        <v>0</v>
      </c>
      <c r="M28" s="90">
        <f t="shared" si="0"/>
        <v>10</v>
      </c>
      <c r="N28" s="90">
        <f t="shared" si="0"/>
        <v>10</v>
      </c>
      <c r="O28" s="90">
        <v>0</v>
      </c>
      <c r="P28" s="90">
        <v>2</v>
      </c>
      <c r="Q28" s="90" t="s">
        <v>2141</v>
      </c>
      <c r="R28" s="90" t="s">
        <v>2141</v>
      </c>
      <c r="S28" s="90" t="s">
        <v>2141</v>
      </c>
      <c r="T28" s="90" t="s">
        <v>2141</v>
      </c>
      <c r="U28" s="90" t="s">
        <v>2141</v>
      </c>
      <c r="V28" s="90"/>
      <c r="W28" s="168" t="s">
        <v>1812</v>
      </c>
      <c r="X28" s="90" t="s">
        <v>1019</v>
      </c>
      <c r="Y28" s="90" t="s">
        <v>1977</v>
      </c>
      <c r="Z28" s="90" t="s">
        <v>1977</v>
      </c>
      <c r="AA28" s="90" t="s">
        <v>1977</v>
      </c>
      <c r="AB28" s="90" t="s">
        <v>1977</v>
      </c>
      <c r="AC28" s="90" t="s">
        <v>1977</v>
      </c>
      <c r="AD28" s="99">
        <v>6</v>
      </c>
      <c r="AE28" s="99">
        <v>7.5</v>
      </c>
      <c r="AF28" s="99" t="s">
        <v>1977</v>
      </c>
      <c r="AG28" s="99" t="s">
        <v>1977</v>
      </c>
      <c r="AH28" s="99" t="s">
        <v>1977</v>
      </c>
      <c r="AI28" s="99" t="s">
        <v>1977</v>
      </c>
      <c r="AJ28" s="99" t="s">
        <v>1977</v>
      </c>
      <c r="AK28" s="99" t="s">
        <v>1977</v>
      </c>
      <c r="AL28" t="s">
        <v>1977</v>
      </c>
      <c r="AM28" s="99" t="s">
        <v>1977</v>
      </c>
      <c r="AN28" s="99" t="s">
        <v>1977</v>
      </c>
      <c r="AO28" t="s">
        <v>1977</v>
      </c>
      <c r="AP28" t="s">
        <v>1977</v>
      </c>
      <c r="AQ28" t="s">
        <v>1977</v>
      </c>
      <c r="AR28" t="s">
        <v>1977</v>
      </c>
      <c r="AS28" t="s">
        <v>1977</v>
      </c>
      <c r="AT28" t="s">
        <v>1977</v>
      </c>
      <c r="AU28" t="s">
        <v>1977</v>
      </c>
      <c r="AV28" t="s">
        <v>1977</v>
      </c>
      <c r="AW28" t="s">
        <v>1977</v>
      </c>
      <c r="AX28">
        <v>5</v>
      </c>
      <c r="BA28" t="s">
        <v>1169</v>
      </c>
      <c r="BB28">
        <v>1</v>
      </c>
      <c r="BC28" t="s">
        <v>1317</v>
      </c>
      <c r="BD28" t="s">
        <v>1318</v>
      </c>
      <c r="BE28" t="s">
        <v>2151</v>
      </c>
      <c r="BF28">
        <v>0</v>
      </c>
      <c r="BG28" t="s">
        <v>1462</v>
      </c>
      <c r="BH28" t="s">
        <v>1823</v>
      </c>
      <c r="BI28" t="s">
        <v>1349</v>
      </c>
      <c r="BJ28">
        <v>12</v>
      </c>
      <c r="BK28">
        <v>15</v>
      </c>
      <c r="BL28">
        <v>2</v>
      </c>
      <c r="BM28">
        <v>5</v>
      </c>
    </row>
    <row r="29" spans="1:68">
      <c r="A29" t="s">
        <v>1824</v>
      </c>
      <c r="B29" s="90" t="s">
        <v>1825</v>
      </c>
      <c r="C29" t="s">
        <v>1022</v>
      </c>
      <c r="D29" t="s">
        <v>1109</v>
      </c>
      <c r="E29" s="90">
        <f t="shared" si="1"/>
        <v>1</v>
      </c>
      <c r="F29" s="90">
        <v>0</v>
      </c>
      <c r="G29" s="90">
        <v>2</v>
      </c>
      <c r="H29" s="90">
        <v>0</v>
      </c>
      <c r="I29" s="90">
        <v>0</v>
      </c>
      <c r="J29" s="90">
        <v>0</v>
      </c>
      <c r="K29" s="90">
        <v>2</v>
      </c>
      <c r="L29" s="90">
        <v>0</v>
      </c>
      <c r="M29" s="90">
        <f t="shared" si="0"/>
        <v>10</v>
      </c>
      <c r="N29" s="90">
        <f t="shared" si="0"/>
        <v>15</v>
      </c>
      <c r="O29" s="90">
        <v>2</v>
      </c>
      <c r="P29" s="90">
        <v>1</v>
      </c>
      <c r="Q29" s="90" t="s">
        <v>1810</v>
      </c>
      <c r="R29" s="90" t="s">
        <v>1810</v>
      </c>
      <c r="S29" s="90" t="s">
        <v>1810</v>
      </c>
      <c r="T29" s="90" t="s">
        <v>1810</v>
      </c>
      <c r="U29" s="90" t="s">
        <v>1810</v>
      </c>
      <c r="V29" s="90"/>
      <c r="W29" s="168" t="s">
        <v>2198</v>
      </c>
      <c r="X29" s="90" t="s">
        <v>1226</v>
      </c>
      <c r="Y29" s="90" t="s">
        <v>1226</v>
      </c>
      <c r="Z29" s="90" t="s">
        <v>1226</v>
      </c>
      <c r="AA29" s="90" t="s">
        <v>1226</v>
      </c>
      <c r="AB29" s="90" t="s">
        <v>1514</v>
      </c>
      <c r="AC29" s="90" t="s">
        <v>1977</v>
      </c>
      <c r="AD29" s="99">
        <v>7</v>
      </c>
      <c r="AE29" s="99">
        <v>2</v>
      </c>
      <c r="AF29" s="99" t="s">
        <v>1977</v>
      </c>
      <c r="AG29" s="99" t="s">
        <v>1977</v>
      </c>
      <c r="AH29" s="99" t="s">
        <v>1920</v>
      </c>
      <c r="AI29" s="99" t="s">
        <v>1977</v>
      </c>
      <c r="AJ29" s="99" t="s">
        <v>1977</v>
      </c>
      <c r="AK29" s="99" t="s">
        <v>1977</v>
      </c>
      <c r="AL29" t="s">
        <v>1977</v>
      </c>
      <c r="AM29" s="99" t="s">
        <v>1977</v>
      </c>
      <c r="AN29" s="99" t="s">
        <v>1846</v>
      </c>
      <c r="AO29" t="s">
        <v>1977</v>
      </c>
      <c r="AP29" t="s">
        <v>1977</v>
      </c>
      <c r="AQ29" t="s">
        <v>1977</v>
      </c>
      <c r="AR29" t="s">
        <v>1977</v>
      </c>
      <c r="AS29" t="s">
        <v>1977</v>
      </c>
      <c r="AT29" t="s">
        <v>1977</v>
      </c>
      <c r="AU29" t="s">
        <v>1977</v>
      </c>
      <c r="AV29" t="s">
        <v>1977</v>
      </c>
      <c r="AW29" t="s">
        <v>1977</v>
      </c>
      <c r="AX29">
        <v>0</v>
      </c>
      <c r="BA29" t="s">
        <v>1824</v>
      </c>
      <c r="BB29" t="s">
        <v>1825</v>
      </c>
      <c r="BC29" t="s">
        <v>1022</v>
      </c>
      <c r="BD29" t="s">
        <v>1023</v>
      </c>
      <c r="BE29" t="s">
        <v>2273</v>
      </c>
      <c r="BF29">
        <v>2</v>
      </c>
      <c r="BG29" t="s">
        <v>1573</v>
      </c>
      <c r="BH29" t="s">
        <v>1634</v>
      </c>
      <c r="BI29" t="s">
        <v>1703</v>
      </c>
      <c r="BJ29">
        <v>14</v>
      </c>
      <c r="BK29">
        <v>4</v>
      </c>
      <c r="BL29">
        <v>1</v>
      </c>
      <c r="BM29">
        <v>0</v>
      </c>
      <c r="BN29" t="s">
        <v>1826</v>
      </c>
      <c r="BO29" t="s">
        <v>1428</v>
      </c>
    </row>
    <row r="30" spans="1:68">
      <c r="A30" t="s">
        <v>1933</v>
      </c>
      <c r="B30" s="90">
        <v>1</v>
      </c>
      <c r="C30" t="s">
        <v>1022</v>
      </c>
      <c r="D30" t="s">
        <v>1109</v>
      </c>
      <c r="E30" s="90">
        <f t="shared" si="1"/>
        <v>7</v>
      </c>
      <c r="F30" s="90">
        <v>0</v>
      </c>
      <c r="G30" s="90">
        <v>0</v>
      </c>
      <c r="H30" s="90">
        <v>0</v>
      </c>
      <c r="I30" s="90">
        <v>0</v>
      </c>
      <c r="J30" s="90">
        <v>0</v>
      </c>
      <c r="K30" s="90">
        <v>4</v>
      </c>
      <c r="L30" s="90">
        <v>0</v>
      </c>
      <c r="M30" s="90">
        <f t="shared" si="0"/>
        <v>10</v>
      </c>
      <c r="N30" s="90">
        <f t="shared" si="0"/>
        <v>15</v>
      </c>
      <c r="O30" s="90">
        <v>0</v>
      </c>
      <c r="P30" s="90">
        <v>7</v>
      </c>
      <c r="Q30" s="90" t="s">
        <v>1519</v>
      </c>
      <c r="R30" s="90" t="s">
        <v>1519</v>
      </c>
      <c r="S30" s="90" t="s">
        <v>1519</v>
      </c>
      <c r="T30" s="90" t="s">
        <v>1519</v>
      </c>
      <c r="U30" s="90" t="s">
        <v>1519</v>
      </c>
      <c r="V30" s="90"/>
      <c r="W30" s="168" t="s">
        <v>1991</v>
      </c>
      <c r="X30" s="90" t="s">
        <v>1514</v>
      </c>
      <c r="Y30" s="90" t="s">
        <v>1496</v>
      </c>
      <c r="Z30" s="90" t="s">
        <v>1977</v>
      </c>
      <c r="AA30" s="90" t="s">
        <v>1977</v>
      </c>
      <c r="AB30" s="90" t="s">
        <v>1977</v>
      </c>
      <c r="AC30" s="90" t="s">
        <v>1977</v>
      </c>
      <c r="AD30" s="99">
        <v>3.5</v>
      </c>
      <c r="AE30" s="99">
        <v>2</v>
      </c>
      <c r="AF30" s="99" t="s">
        <v>1977</v>
      </c>
      <c r="AG30" s="99" t="s">
        <v>1977</v>
      </c>
      <c r="AH30" t="s">
        <v>1977</v>
      </c>
      <c r="AI30" s="99" t="s">
        <v>1977</v>
      </c>
      <c r="AJ30" s="99" t="s">
        <v>1977</v>
      </c>
      <c r="AK30" s="99" t="s">
        <v>1977</v>
      </c>
      <c r="AL30" s="99" t="s">
        <v>1977</v>
      </c>
      <c r="AM30" s="99" t="s">
        <v>1977</v>
      </c>
      <c r="AN30" s="99" t="s">
        <v>1846</v>
      </c>
      <c r="AO30" t="s">
        <v>1977</v>
      </c>
      <c r="AP30" t="s">
        <v>1977</v>
      </c>
      <c r="AQ30" t="s">
        <v>1977</v>
      </c>
      <c r="AR30" t="s">
        <v>1977</v>
      </c>
      <c r="AS30" t="s">
        <v>1977</v>
      </c>
      <c r="AT30" t="s">
        <v>1977</v>
      </c>
      <c r="AU30" t="s">
        <v>1977</v>
      </c>
      <c r="AV30" t="s">
        <v>1977</v>
      </c>
      <c r="AW30" t="s">
        <v>1977</v>
      </c>
      <c r="AX30">
        <v>0</v>
      </c>
      <c r="BA30" t="s">
        <v>1933</v>
      </c>
      <c r="BB30">
        <v>1</v>
      </c>
      <c r="BC30" t="s">
        <v>1022</v>
      </c>
      <c r="BD30" t="s">
        <v>1023</v>
      </c>
      <c r="BE30" t="s">
        <v>2057</v>
      </c>
      <c r="BF30">
        <v>0</v>
      </c>
      <c r="BG30" t="s">
        <v>1373</v>
      </c>
      <c r="BH30" t="s">
        <v>1633</v>
      </c>
      <c r="BI30" t="s">
        <v>1703</v>
      </c>
      <c r="BJ30">
        <v>7</v>
      </c>
      <c r="BK30">
        <v>4</v>
      </c>
      <c r="BL30">
        <v>5</v>
      </c>
      <c r="BM30">
        <v>6</v>
      </c>
      <c r="BN30" t="s">
        <v>1374</v>
      </c>
      <c r="BO30" t="s">
        <v>1375</v>
      </c>
    </row>
    <row r="31" spans="1:68">
      <c r="A31" t="s">
        <v>1266</v>
      </c>
      <c r="B31" s="90" t="s">
        <v>1348</v>
      </c>
      <c r="C31" t="s">
        <v>1022</v>
      </c>
      <c r="D31" t="s">
        <v>1098</v>
      </c>
      <c r="E31" s="90">
        <f t="shared" si="1"/>
        <v>-1</v>
      </c>
      <c r="F31" s="90">
        <v>0</v>
      </c>
      <c r="G31" s="90">
        <v>0</v>
      </c>
      <c r="H31" s="90">
        <v>4</v>
      </c>
      <c r="I31" s="90">
        <v>0</v>
      </c>
      <c r="J31" s="90">
        <v>0</v>
      </c>
      <c r="K31" s="90">
        <v>0</v>
      </c>
      <c r="L31" s="90">
        <v>0</v>
      </c>
      <c r="M31" s="90">
        <f t="shared" si="0"/>
        <v>10</v>
      </c>
      <c r="N31" s="90">
        <f t="shared" si="0"/>
        <v>15</v>
      </c>
      <c r="O31" s="90">
        <v>0</v>
      </c>
      <c r="P31" s="90">
        <v>-1</v>
      </c>
      <c r="Q31" s="90" t="s">
        <v>1943</v>
      </c>
      <c r="R31" s="90" t="s">
        <v>1943</v>
      </c>
      <c r="S31" s="90" t="s">
        <v>1943</v>
      </c>
      <c r="T31" s="90" t="s">
        <v>1943</v>
      </c>
      <c r="U31" s="90" t="s">
        <v>1943</v>
      </c>
      <c r="V31" s="90"/>
      <c r="W31" s="168" t="s">
        <v>1812</v>
      </c>
      <c r="X31" s="90" t="s">
        <v>1514</v>
      </c>
      <c r="Y31" s="90" t="s">
        <v>1977</v>
      </c>
      <c r="Z31" s="90" t="s">
        <v>1977</v>
      </c>
      <c r="AA31" s="90" t="s">
        <v>1977</v>
      </c>
      <c r="AB31" s="90" t="s">
        <v>1977</v>
      </c>
      <c r="AC31" s="90" t="s">
        <v>1977</v>
      </c>
      <c r="AD31" s="99">
        <v>6.5</v>
      </c>
      <c r="AE31" s="99">
        <v>7.5</v>
      </c>
      <c r="AF31" s="99" t="s">
        <v>1977</v>
      </c>
      <c r="AG31" s="99" t="s">
        <v>1977</v>
      </c>
      <c r="AH31" t="s">
        <v>1977</v>
      </c>
      <c r="AI31" s="99" t="s">
        <v>1977</v>
      </c>
      <c r="AJ31" s="99" t="s">
        <v>1977</v>
      </c>
      <c r="AK31" s="99" t="s">
        <v>1977</v>
      </c>
      <c r="AL31" s="99" t="s">
        <v>1977</v>
      </c>
      <c r="AM31" s="99" t="s">
        <v>1977</v>
      </c>
      <c r="AN31" s="168" t="s">
        <v>1977</v>
      </c>
      <c r="AO31" t="s">
        <v>1977</v>
      </c>
      <c r="AP31" t="s">
        <v>1977</v>
      </c>
      <c r="AQ31" t="s">
        <v>1977</v>
      </c>
      <c r="AR31" t="s">
        <v>1977</v>
      </c>
      <c r="AS31" t="s">
        <v>1977</v>
      </c>
      <c r="AT31" t="s">
        <v>1977</v>
      </c>
      <c r="AU31" t="s">
        <v>1977</v>
      </c>
      <c r="AV31" t="s">
        <v>1977</v>
      </c>
      <c r="AW31" t="s">
        <v>1977</v>
      </c>
      <c r="AX31">
        <v>5</v>
      </c>
      <c r="BA31" t="s">
        <v>1266</v>
      </c>
      <c r="BB31" t="s">
        <v>1348</v>
      </c>
      <c r="BC31" t="s">
        <v>1022</v>
      </c>
      <c r="BD31" t="s">
        <v>2003</v>
      </c>
      <c r="BE31">
        <v>0</v>
      </c>
      <c r="BF31">
        <v>0</v>
      </c>
      <c r="BG31" t="s">
        <v>1633</v>
      </c>
      <c r="BH31" t="s">
        <v>1633</v>
      </c>
      <c r="BI31" t="s">
        <v>1574</v>
      </c>
      <c r="BJ31">
        <v>13</v>
      </c>
      <c r="BK31">
        <v>15</v>
      </c>
      <c r="BL31">
        <v>-1</v>
      </c>
      <c r="BM31">
        <v>-2</v>
      </c>
    </row>
    <row r="32" spans="1:68">
      <c r="A32" s="88"/>
      <c r="B32" s="5"/>
      <c r="C32" s="88"/>
      <c r="D32" s="88"/>
      <c r="E32" s="148"/>
      <c r="F32" s="148"/>
      <c r="G32" s="148"/>
      <c r="H32" s="148"/>
      <c r="I32" s="148"/>
      <c r="J32" s="148"/>
      <c r="K32" s="148"/>
      <c r="L32" s="148"/>
      <c r="M32" s="148"/>
      <c r="N32" s="148"/>
      <c r="O32" s="5"/>
      <c r="P32" s="148"/>
      <c r="Q32" s="148"/>
      <c r="R32" s="148"/>
      <c r="S32" s="148"/>
      <c r="T32" s="148"/>
      <c r="U32" s="148"/>
      <c r="V32" s="148"/>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row>
    <row r="33" spans="1:51">
      <c r="A33" s="312"/>
      <c r="B33" s="314"/>
      <c r="C33" s="312"/>
      <c r="D33" s="312"/>
      <c r="E33" s="316"/>
      <c r="F33" s="316"/>
      <c r="G33" s="316"/>
      <c r="H33" s="316"/>
      <c r="I33" s="316"/>
      <c r="J33" s="316"/>
      <c r="K33" s="316"/>
      <c r="L33" s="316"/>
      <c r="M33" s="316"/>
      <c r="N33" s="316"/>
      <c r="O33" s="314"/>
      <c r="P33" s="316"/>
      <c r="Q33" s="316"/>
      <c r="R33" s="316"/>
      <c r="S33" s="316"/>
      <c r="T33" s="316"/>
      <c r="U33" s="316"/>
      <c r="V33" s="316"/>
      <c r="W33" s="312"/>
      <c r="X33" s="312"/>
      <c r="Y33" s="312"/>
      <c r="Z33" s="312"/>
      <c r="AA33" s="312"/>
      <c r="AB33" s="312"/>
      <c r="AC33" s="312"/>
      <c r="AD33" s="314"/>
      <c r="AE33" s="314"/>
      <c r="AF33" s="312"/>
      <c r="AG33" s="312"/>
      <c r="AH33" s="312"/>
      <c r="AI33" s="312"/>
      <c r="AJ33" s="312"/>
      <c r="AK33" s="312"/>
      <c r="AL33" s="312"/>
      <c r="AM33" s="312"/>
      <c r="AN33" s="312"/>
      <c r="AO33" s="314"/>
      <c r="AP33" s="312"/>
      <c r="AQ33" s="314"/>
      <c r="AR33" s="312"/>
      <c r="AS33" s="314"/>
      <c r="AT33" s="312"/>
      <c r="AU33" s="314"/>
      <c r="AV33" s="312"/>
      <c r="AW33" s="314"/>
      <c r="AX33" s="314"/>
      <c r="AY33" s="314"/>
    </row>
    <row r="34" spans="1:51">
      <c r="A34" t="s">
        <v>2294</v>
      </c>
      <c r="B34" s="168" t="s">
        <v>2295</v>
      </c>
      <c r="C34" t="s">
        <v>1107</v>
      </c>
      <c r="D34" t="s">
        <v>1875</v>
      </c>
      <c r="E34" t="s">
        <v>2288</v>
      </c>
      <c r="F34" t="s">
        <v>2296</v>
      </c>
      <c r="G34" t="s">
        <v>2297</v>
      </c>
      <c r="H34" s="168"/>
      <c r="V34" s="89"/>
      <c r="W34" s="141"/>
      <c r="X34" s="141"/>
      <c r="Y34" s="139"/>
      <c r="AG34" s="9"/>
    </row>
    <row r="35" spans="1:51">
      <c r="A35" t="s">
        <v>1098</v>
      </c>
      <c r="B35" s="100" t="s">
        <v>2455</v>
      </c>
      <c r="C35" s="100" t="s">
        <v>2456</v>
      </c>
      <c r="D35" s="90">
        <v>9</v>
      </c>
      <c r="E35" s="90"/>
      <c r="F35" s="100" t="s">
        <v>2457</v>
      </c>
      <c r="G35" s="90">
        <v>12</v>
      </c>
      <c r="H35" s="100"/>
      <c r="I35" s="100"/>
      <c r="J35" s="90"/>
      <c r="K35" s="100"/>
      <c r="L35" s="90"/>
      <c r="M35" s="90"/>
      <c r="N35" s="100"/>
      <c r="V35" s="7"/>
      <c r="W35" s="6"/>
      <c r="X35" s="6"/>
      <c r="Y35" s="98"/>
      <c r="AG35" s="9"/>
    </row>
    <row r="36" spans="1:51">
      <c r="A36" t="s">
        <v>2003</v>
      </c>
      <c r="B36" s="100" t="s">
        <v>2044</v>
      </c>
      <c r="C36" s="100" t="s">
        <v>2045</v>
      </c>
      <c r="D36" s="90"/>
      <c r="E36" s="100" t="s">
        <v>2046</v>
      </c>
      <c r="F36" s="90">
        <v>10</v>
      </c>
      <c r="G36" s="100" t="s">
        <v>2047</v>
      </c>
      <c r="H36" s="100"/>
      <c r="I36" s="90"/>
      <c r="J36" s="100"/>
      <c r="K36" s="90"/>
      <c r="L36" s="90"/>
      <c r="M36" s="90"/>
      <c r="N36" s="90"/>
      <c r="V36" s="7"/>
      <c r="W36" s="138"/>
      <c r="X36" s="139"/>
      <c r="Y36" s="140"/>
      <c r="AG36" s="9"/>
      <c r="AL36" s="99"/>
    </row>
    <row r="37" spans="1:51">
      <c r="A37" t="s">
        <v>1109</v>
      </c>
      <c r="B37" s="100" t="s">
        <v>2289</v>
      </c>
      <c r="C37" s="90">
        <v>8</v>
      </c>
      <c r="D37" s="100" t="s">
        <v>2146</v>
      </c>
      <c r="E37" s="90"/>
      <c r="F37" s="90">
        <v>11</v>
      </c>
      <c r="G37" s="90">
        <v>12</v>
      </c>
      <c r="H37" s="100"/>
      <c r="J37" s="90"/>
      <c r="K37" s="90"/>
      <c r="L37" s="100"/>
      <c r="M37" s="100"/>
      <c r="N37" s="90"/>
      <c r="V37" s="7"/>
      <c r="W37" s="141"/>
      <c r="X37" s="139"/>
      <c r="Y37" s="140"/>
      <c r="AG37" s="9"/>
      <c r="AL37" s="99"/>
    </row>
    <row r="38" spans="1:51">
      <c r="A38" t="s">
        <v>1619</v>
      </c>
      <c r="C38" s="90"/>
      <c r="D38" s="90"/>
      <c r="E38" s="100" t="s">
        <v>2048</v>
      </c>
      <c r="F38" s="100" t="s">
        <v>2458</v>
      </c>
      <c r="G38" s="100" t="s">
        <v>2459</v>
      </c>
      <c r="H38" s="90"/>
      <c r="J38" s="90"/>
      <c r="K38" s="100"/>
      <c r="L38" s="100"/>
      <c r="M38" s="100"/>
      <c r="N38" s="100"/>
      <c r="V38" s="89"/>
      <c r="W38" s="141"/>
      <c r="X38" s="141"/>
      <c r="Y38" s="139"/>
      <c r="AL38" s="99"/>
    </row>
    <row r="39" spans="1:51">
      <c r="C39" s="100"/>
      <c r="D39" s="90"/>
      <c r="E39" s="100"/>
      <c r="J39" s="90"/>
      <c r="K39" s="100"/>
      <c r="L39" s="90"/>
      <c r="M39" s="90"/>
      <c r="N39" s="100"/>
      <c r="V39" s="7"/>
      <c r="W39" s="138"/>
      <c r="X39" s="139"/>
      <c r="Y39" s="140"/>
      <c r="AL39" s="99"/>
    </row>
    <row r="40" spans="1:51">
      <c r="A40" t="s">
        <v>2294</v>
      </c>
      <c r="B40" s="168" t="s">
        <v>2295</v>
      </c>
      <c r="C40" t="s">
        <v>1107</v>
      </c>
      <c r="D40" t="s">
        <v>1875</v>
      </c>
      <c r="E40" t="s">
        <v>2288</v>
      </c>
      <c r="F40" t="s">
        <v>2296</v>
      </c>
      <c r="G40" t="s">
        <v>2297</v>
      </c>
      <c r="V40" s="7"/>
      <c r="W40" s="141"/>
      <c r="X40" s="139"/>
      <c r="Y40" s="139"/>
      <c r="AL40" s="99"/>
    </row>
    <row r="41" spans="1:51">
      <c r="A41" t="s">
        <v>1098</v>
      </c>
      <c r="B41" s="100">
        <v>2</v>
      </c>
      <c r="C41" s="100">
        <v>6</v>
      </c>
      <c r="D41" s="90">
        <v>9</v>
      </c>
      <c r="E41" s="90"/>
      <c r="F41" s="100">
        <v>10</v>
      </c>
      <c r="G41" s="90">
        <v>12</v>
      </c>
      <c r="I41" s="168"/>
      <c r="J41" s="100"/>
      <c r="K41" s="100"/>
      <c r="L41" s="100"/>
      <c r="M41" s="100"/>
      <c r="N41" s="90"/>
      <c r="V41" s="7"/>
      <c r="W41" s="138"/>
      <c r="X41" s="139"/>
      <c r="Y41" s="140"/>
      <c r="AL41" s="99"/>
    </row>
    <row r="42" spans="1:51">
      <c r="A42" t="s">
        <v>2003</v>
      </c>
      <c r="B42" s="100">
        <v>2</v>
      </c>
      <c r="C42" s="100">
        <v>4</v>
      </c>
      <c r="D42" s="90"/>
      <c r="E42" s="100">
        <v>7</v>
      </c>
      <c r="F42" s="90">
        <v>10</v>
      </c>
      <c r="G42" s="100">
        <v>11</v>
      </c>
      <c r="J42" s="100"/>
      <c r="K42" s="90"/>
      <c r="L42" s="100"/>
      <c r="M42" s="100"/>
      <c r="N42" s="90"/>
      <c r="V42" s="7"/>
      <c r="W42" s="141"/>
      <c r="X42" s="141"/>
      <c r="Y42" s="139"/>
      <c r="AL42" s="99"/>
    </row>
    <row r="43" spans="1:51">
      <c r="A43" t="s">
        <v>1109</v>
      </c>
      <c r="B43" s="100">
        <v>2</v>
      </c>
      <c r="C43" s="90">
        <v>8</v>
      </c>
      <c r="D43" s="100">
        <v>9</v>
      </c>
      <c r="E43" s="90"/>
      <c r="F43" s="90">
        <v>11</v>
      </c>
      <c r="G43" s="90">
        <v>12</v>
      </c>
      <c r="J43" s="90"/>
      <c r="K43" s="100"/>
      <c r="L43" s="90"/>
      <c r="M43" s="90"/>
      <c r="N43" s="90"/>
      <c r="V43" s="7"/>
      <c r="W43" s="141"/>
      <c r="X43" s="141"/>
      <c r="Y43" s="139"/>
      <c r="AL43" s="99"/>
    </row>
    <row r="44" spans="1:51">
      <c r="A44" t="s">
        <v>1619</v>
      </c>
      <c r="C44" s="90"/>
      <c r="D44" s="90"/>
      <c r="E44" s="100">
        <v>2</v>
      </c>
      <c r="F44" s="100">
        <v>7</v>
      </c>
      <c r="G44" s="100">
        <v>9</v>
      </c>
      <c r="J44" s="100"/>
      <c r="K44" s="90"/>
      <c r="L44" s="90"/>
      <c r="M44" s="90"/>
      <c r="N44" s="100"/>
      <c r="V44" s="7"/>
      <c r="W44" s="138"/>
      <c r="X44" s="139"/>
      <c r="Y44" s="140"/>
      <c r="AL44" s="99"/>
    </row>
    <row r="45" spans="1:51">
      <c r="J45" s="90"/>
      <c r="K45" s="90"/>
      <c r="L45" s="100"/>
      <c r="M45" s="100"/>
      <c r="N45" s="100"/>
    </row>
    <row r="46" spans="1:51">
      <c r="A46" t="s">
        <v>2294</v>
      </c>
      <c r="B46" t="s">
        <v>1098</v>
      </c>
      <c r="C46" t="s">
        <v>2003</v>
      </c>
      <c r="D46" t="s">
        <v>1109</v>
      </c>
      <c r="E46" t="s">
        <v>1619</v>
      </c>
      <c r="K46" s="100"/>
      <c r="L46" s="90"/>
      <c r="M46" s="90"/>
      <c r="N46" s="90"/>
      <c r="O46" s="100"/>
    </row>
    <row r="47" spans="1:51">
      <c r="A47" s="168" t="s">
        <v>2295</v>
      </c>
      <c r="B47" s="100">
        <v>2</v>
      </c>
      <c r="C47" s="100">
        <v>2</v>
      </c>
      <c r="D47" s="100">
        <v>2</v>
      </c>
      <c r="E47" s="90"/>
      <c r="AM47" s="99"/>
    </row>
    <row r="48" spans="1:51">
      <c r="A48" t="s">
        <v>1107</v>
      </c>
      <c r="B48" s="100">
        <v>6</v>
      </c>
      <c r="C48" s="100">
        <v>4</v>
      </c>
      <c r="D48" s="90">
        <v>8</v>
      </c>
      <c r="E48" s="90"/>
    </row>
    <row r="49" spans="1:39">
      <c r="A49" t="s">
        <v>1875</v>
      </c>
      <c r="B49" s="90">
        <v>9</v>
      </c>
      <c r="C49" s="90"/>
      <c r="D49" s="100">
        <v>9</v>
      </c>
      <c r="E49" s="90"/>
      <c r="AM49" s="99"/>
    </row>
    <row r="50" spans="1:39">
      <c r="A50" t="s">
        <v>2288</v>
      </c>
      <c r="C50" s="100">
        <v>7</v>
      </c>
      <c r="D50" s="90"/>
      <c r="E50" s="100">
        <v>2</v>
      </c>
    </row>
    <row r="51" spans="1:39">
      <c r="A51" t="s">
        <v>2296</v>
      </c>
      <c r="B51" s="100">
        <v>10</v>
      </c>
      <c r="C51" s="90">
        <v>10</v>
      </c>
      <c r="D51" s="90">
        <v>11</v>
      </c>
      <c r="E51" s="100">
        <v>7</v>
      </c>
    </row>
    <row r="52" spans="1:39">
      <c r="A52" t="s">
        <v>2297</v>
      </c>
      <c r="B52" s="90">
        <v>12</v>
      </c>
      <c r="C52" s="100">
        <v>11</v>
      </c>
      <c r="D52" s="90">
        <v>12</v>
      </c>
      <c r="E52" s="100">
        <v>9</v>
      </c>
    </row>
  </sheetData>
  <sheetCalcPr fullCalcOnLoad="1"/>
  <phoneticPr fontId="6" type="noConversion"/>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P8"/>
  <sheetViews>
    <sheetView workbookViewId="0"/>
  </sheetViews>
  <sheetFormatPr baseColWidth="10" defaultRowHeight="13"/>
  <cols>
    <col min="2" max="2" width="10.83203125" style="90"/>
    <col min="5" max="19" width="10.83203125" style="90"/>
    <col min="33" max="34" width="10.83203125" style="90"/>
    <col min="45" max="45" width="10.83203125" style="90"/>
    <col min="47" max="47" width="10.83203125" style="90"/>
    <col min="49" max="49" width="10.83203125" style="90"/>
    <col min="51" max="51" width="10.83203125" style="90"/>
    <col min="53" max="54" width="10.83203125" style="90"/>
    <col min="57" max="57" width="17.33203125" bestFit="1" customWidth="1"/>
  </cols>
  <sheetData>
    <row r="1" spans="1:68">
      <c r="A1" s="88" t="s">
        <v>976</v>
      </c>
      <c r="B1" s="5" t="s">
        <v>1398</v>
      </c>
      <c r="C1" s="88" t="s">
        <v>2103</v>
      </c>
      <c r="D1" s="88" t="s">
        <v>1099</v>
      </c>
      <c r="E1" s="148" t="s">
        <v>2071</v>
      </c>
      <c r="F1" s="148" t="s">
        <v>2350</v>
      </c>
      <c r="G1" s="148" t="s">
        <v>2351</v>
      </c>
      <c r="H1" s="148" t="s">
        <v>1954</v>
      </c>
      <c r="I1" s="148" t="s">
        <v>1955</v>
      </c>
      <c r="J1" s="148" t="s">
        <v>1956</v>
      </c>
      <c r="K1" s="148" t="s">
        <v>1402</v>
      </c>
      <c r="L1" s="148" t="s">
        <v>1278</v>
      </c>
      <c r="M1" s="148" t="s">
        <v>2059</v>
      </c>
      <c r="N1" s="5" t="s">
        <v>1768</v>
      </c>
      <c r="O1" s="148" t="s">
        <v>2105</v>
      </c>
      <c r="P1" s="148" t="s">
        <v>1125</v>
      </c>
      <c r="Q1" s="148" t="s">
        <v>1126</v>
      </c>
      <c r="R1" s="148" t="s">
        <v>1127</v>
      </c>
      <c r="S1" s="148" t="s">
        <v>1128</v>
      </c>
      <c r="T1" s="148" t="s">
        <v>1129</v>
      </c>
      <c r="U1" s="148" t="s">
        <v>1130</v>
      </c>
      <c r="V1" s="5" t="s">
        <v>2199</v>
      </c>
      <c r="W1" s="5" t="s">
        <v>1868</v>
      </c>
      <c r="X1" s="5" t="s">
        <v>1869</v>
      </c>
      <c r="Y1" s="5" t="s">
        <v>1870</v>
      </c>
      <c r="Z1" s="5" t="s">
        <v>1860</v>
      </c>
      <c r="AA1" s="5" t="s">
        <v>2215</v>
      </c>
      <c r="AB1" s="5" t="s">
        <v>2216</v>
      </c>
      <c r="AC1" s="5" t="s">
        <v>2348</v>
      </c>
      <c r="AD1" s="5" t="s">
        <v>1393</v>
      </c>
      <c r="AE1" s="5" t="s">
        <v>2164</v>
      </c>
      <c r="AF1" s="5" t="s">
        <v>2165</v>
      </c>
      <c r="AG1" s="5" t="s">
        <v>2166</v>
      </c>
      <c r="AH1" s="5" t="s">
        <v>2167</v>
      </c>
      <c r="AI1" s="5" t="s">
        <v>2168</v>
      </c>
      <c r="AJ1" s="5" t="s">
        <v>1728</v>
      </c>
      <c r="AK1" s="5" t="s">
        <v>1729</v>
      </c>
      <c r="AL1" s="5" t="s">
        <v>1730</v>
      </c>
      <c r="AM1" s="5" t="s">
        <v>2102</v>
      </c>
      <c r="AN1" s="5" t="s">
        <v>1947</v>
      </c>
      <c r="AO1" s="5" t="s">
        <v>1403</v>
      </c>
      <c r="AP1" s="5" t="s">
        <v>1948</v>
      </c>
      <c r="AQ1" s="5" t="s">
        <v>1403</v>
      </c>
      <c r="AR1" s="5" t="s">
        <v>1985</v>
      </c>
      <c r="AS1" s="5" t="s">
        <v>1403</v>
      </c>
      <c r="AT1" s="5" t="s">
        <v>1986</v>
      </c>
      <c r="AU1" s="5" t="s">
        <v>1403</v>
      </c>
      <c r="AV1" s="5" t="s">
        <v>1987</v>
      </c>
      <c r="AW1" s="5" t="s">
        <v>1403</v>
      </c>
      <c r="AX1" s="5" t="s">
        <v>1965</v>
      </c>
      <c r="AY1" s="5" t="s">
        <v>1707</v>
      </c>
      <c r="AZ1" s="5"/>
      <c r="BA1" s="88" t="s">
        <v>2082</v>
      </c>
      <c r="BB1" s="88"/>
      <c r="BC1" s="88"/>
      <c r="BD1" s="88"/>
      <c r="BE1" s="88"/>
      <c r="BF1" s="88"/>
      <c r="BG1" s="88"/>
      <c r="BH1" s="88"/>
      <c r="BI1" s="88"/>
      <c r="BJ1" s="88"/>
      <c r="BK1" s="88"/>
      <c r="BL1" s="88"/>
      <c r="BM1" s="88"/>
      <c r="BN1" s="88"/>
      <c r="BO1" s="88"/>
      <c r="BP1" s="88"/>
    </row>
    <row r="2" spans="1:68">
      <c r="A2" t="s">
        <v>2042</v>
      </c>
      <c r="B2" s="101" t="s">
        <v>2043</v>
      </c>
      <c r="C2" t="s">
        <v>1022</v>
      </c>
      <c r="D2" t="s">
        <v>1109</v>
      </c>
      <c r="E2" s="90">
        <v>8</v>
      </c>
      <c r="F2" s="90">
        <v>4</v>
      </c>
      <c r="G2" s="90">
        <v>4</v>
      </c>
      <c r="H2" s="90">
        <v>8</v>
      </c>
      <c r="I2" s="90">
        <v>2</v>
      </c>
      <c r="J2" s="90">
        <v>1</v>
      </c>
      <c r="K2" s="90">
        <v>1</v>
      </c>
      <c r="L2" s="90">
        <v>0</v>
      </c>
      <c r="M2" s="90">
        <v>20</v>
      </c>
      <c r="N2" s="90">
        <v>2</v>
      </c>
      <c r="O2" s="90">
        <v>3</v>
      </c>
      <c r="P2" t="s">
        <v>1519</v>
      </c>
      <c r="Q2" t="s">
        <v>1519</v>
      </c>
      <c r="R2" t="s">
        <v>1519</v>
      </c>
      <c r="S2" t="s">
        <v>1519</v>
      </c>
      <c r="T2" t="s">
        <v>1519</v>
      </c>
      <c r="U2" s="90"/>
      <c r="V2" t="s">
        <v>1942</v>
      </c>
      <c r="W2" t="s">
        <v>2279</v>
      </c>
      <c r="X2" t="s">
        <v>2279</v>
      </c>
      <c r="Y2" t="s">
        <v>2278</v>
      </c>
      <c r="Z2" t="s">
        <v>2278</v>
      </c>
      <c r="AA2" t="s">
        <v>1514</v>
      </c>
      <c r="AB2" t="s">
        <v>1977</v>
      </c>
      <c r="AC2" s="90">
        <v>6</v>
      </c>
      <c r="AD2" s="90">
        <v>6</v>
      </c>
      <c r="AE2" t="s">
        <v>1977</v>
      </c>
      <c r="AF2" t="s">
        <v>1977</v>
      </c>
      <c r="AG2" t="s">
        <v>1977</v>
      </c>
      <c r="AH2" t="s">
        <v>1977</v>
      </c>
      <c r="AI2" t="s">
        <v>1977</v>
      </c>
      <c r="AJ2" t="s">
        <v>1977</v>
      </c>
      <c r="AK2" t="s">
        <v>1977</v>
      </c>
      <c r="AL2" t="s">
        <v>1977</v>
      </c>
      <c r="AM2" t="s">
        <v>1984</v>
      </c>
      <c r="AN2" t="s">
        <v>2227</v>
      </c>
      <c r="AO2" s="90">
        <v>8</v>
      </c>
      <c r="AP2" t="s">
        <v>1259</v>
      </c>
      <c r="AQ2" s="90">
        <v>8</v>
      </c>
      <c r="AR2" t="s">
        <v>1582</v>
      </c>
      <c r="AS2" s="90">
        <v>8</v>
      </c>
      <c r="AT2" t="s">
        <v>1466</v>
      </c>
      <c r="AU2" s="90">
        <v>8</v>
      </c>
      <c r="AV2" t="s">
        <v>2228</v>
      </c>
      <c r="AW2" s="90">
        <v>26</v>
      </c>
      <c r="AX2" s="90">
        <v>12</v>
      </c>
      <c r="AY2" t="s">
        <v>1977</v>
      </c>
      <c r="BA2" t="s">
        <v>1803</v>
      </c>
      <c r="BB2">
        <v>35</v>
      </c>
    </row>
    <row r="3" spans="1:68">
      <c r="A3" t="s">
        <v>931</v>
      </c>
      <c r="B3" s="100" t="s">
        <v>932</v>
      </c>
      <c r="C3" t="s">
        <v>1022</v>
      </c>
      <c r="D3" t="s">
        <v>933</v>
      </c>
      <c r="E3" s="90">
        <v>4</v>
      </c>
      <c r="F3" s="90">
        <v>5</v>
      </c>
      <c r="G3" s="90">
        <v>5</v>
      </c>
      <c r="H3" s="90">
        <v>4</v>
      </c>
      <c r="I3" s="90">
        <v>2</v>
      </c>
      <c r="J3" s="90">
        <v>4</v>
      </c>
      <c r="K3" s="90">
        <v>1</v>
      </c>
      <c r="L3" s="90">
        <v>0</v>
      </c>
      <c r="M3" s="90">
        <v>20</v>
      </c>
      <c r="N3" s="90">
        <v>3</v>
      </c>
      <c r="O3" s="90">
        <v>0</v>
      </c>
      <c r="P3" t="s">
        <v>1063</v>
      </c>
      <c r="Q3" t="s">
        <v>1063</v>
      </c>
      <c r="R3" t="s">
        <v>1063</v>
      </c>
      <c r="S3" t="s">
        <v>1063</v>
      </c>
      <c r="T3" t="s">
        <v>1063</v>
      </c>
      <c r="W3" t="s">
        <v>1064</v>
      </c>
      <c r="X3" t="s">
        <v>1064</v>
      </c>
      <c r="Y3" t="s">
        <v>1065</v>
      </c>
      <c r="Z3" t="s">
        <v>1064</v>
      </c>
      <c r="AA3" t="s">
        <v>1064</v>
      </c>
      <c r="AC3" s="90">
        <v>8</v>
      </c>
      <c r="AD3" s="90">
        <v>8</v>
      </c>
      <c r="AG3"/>
      <c r="AH3"/>
      <c r="AN3" t="s">
        <v>1160</v>
      </c>
      <c r="AO3" s="90">
        <v>8</v>
      </c>
      <c r="AP3" t="s">
        <v>1259</v>
      </c>
      <c r="AQ3" s="90">
        <v>8</v>
      </c>
      <c r="AR3" t="s">
        <v>1582</v>
      </c>
      <c r="AS3" s="90">
        <v>8</v>
      </c>
      <c r="AT3" t="s">
        <v>1069</v>
      </c>
      <c r="AU3" s="90">
        <v>8</v>
      </c>
      <c r="AV3" t="s">
        <v>2228</v>
      </c>
      <c r="AW3" s="90">
        <v>8</v>
      </c>
      <c r="AX3" s="90">
        <v>14</v>
      </c>
      <c r="AY3" t="s">
        <v>1977</v>
      </c>
      <c r="BA3" t="s">
        <v>1804</v>
      </c>
      <c r="BB3">
        <v>0</v>
      </c>
    </row>
    <row r="4" spans="1:68">
      <c r="BE4" t="s">
        <v>1800</v>
      </c>
      <c r="BF4" s="244">
        <f>BB2/0.36</f>
        <v>97.222222222222229</v>
      </c>
    </row>
    <row r="5" spans="1:68">
      <c r="BE5" t="s">
        <v>1801</v>
      </c>
      <c r="BF5" s="146">
        <f>BF4/3.5</f>
        <v>27.777777777777779</v>
      </c>
    </row>
    <row r="6" spans="1:68">
      <c r="BE6">
        <v>-10</v>
      </c>
      <c r="BF6" s="146">
        <f>BF5-10</f>
        <v>17.777777777777779</v>
      </c>
    </row>
    <row r="7" spans="1:68">
      <c r="BE7">
        <v>-4</v>
      </c>
      <c r="BF7" s="146">
        <f>BF6-4</f>
        <v>13.777777777777779</v>
      </c>
    </row>
    <row r="8" spans="1:68">
      <c r="BE8" s="134" t="s">
        <v>1802</v>
      </c>
      <c r="BF8" s="146">
        <f>BF7-BB3</f>
        <v>13.777777777777779</v>
      </c>
    </row>
  </sheetData>
  <sheetCalcPr fullCalcOnLoad="1"/>
  <phoneticPr fontId="6" type="noConversion"/>
  <pageMargins left="0.75" right="0.75" top="1" bottom="1" header="0.5" footer="0.5"/>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J111"/>
  <sheetViews>
    <sheetView workbookViewId="0">
      <pane ySplit="1" topLeftCell="A2" activePane="bottomLeft" state="frozenSplit"/>
      <selection activeCell="E1" sqref="E1"/>
      <selection pane="bottomLeft" activeCell="M17" sqref="M17"/>
    </sheetView>
  </sheetViews>
  <sheetFormatPr baseColWidth="10" defaultColWidth="11" defaultRowHeight="13"/>
  <cols>
    <col min="2" max="2" width="11" style="90"/>
  </cols>
  <sheetData>
    <row r="1" spans="1:62">
      <c r="A1" s="88" t="s">
        <v>976</v>
      </c>
      <c r="B1" s="5" t="s">
        <v>1398</v>
      </c>
      <c r="C1" s="88" t="s">
        <v>2103</v>
      </c>
      <c r="D1" s="88" t="s">
        <v>1099</v>
      </c>
      <c r="E1" s="148" t="s">
        <v>2071</v>
      </c>
      <c r="F1" s="148" t="s">
        <v>2350</v>
      </c>
      <c r="G1" s="148" t="s">
        <v>2351</v>
      </c>
      <c r="H1" s="148" t="s">
        <v>1954</v>
      </c>
      <c r="I1" s="148" t="s">
        <v>1955</v>
      </c>
      <c r="J1" s="148" t="s">
        <v>1956</v>
      </c>
      <c r="K1" s="148" t="s">
        <v>1402</v>
      </c>
      <c r="L1" s="148" t="s">
        <v>1278</v>
      </c>
      <c r="M1" s="148" t="s">
        <v>2059</v>
      </c>
      <c r="N1" s="5" t="s">
        <v>1768</v>
      </c>
      <c r="O1" s="148" t="s">
        <v>2105</v>
      </c>
      <c r="P1" s="148" t="s">
        <v>1125</v>
      </c>
      <c r="Q1" s="148" t="s">
        <v>1126</v>
      </c>
      <c r="R1" s="148" t="s">
        <v>1127</v>
      </c>
      <c r="S1" s="148" t="s">
        <v>1128</v>
      </c>
      <c r="T1" s="148" t="s">
        <v>1129</v>
      </c>
      <c r="U1" s="148" t="s">
        <v>1130</v>
      </c>
      <c r="V1" s="5" t="s">
        <v>2199</v>
      </c>
      <c r="W1" s="5" t="s">
        <v>1868</v>
      </c>
      <c r="X1" s="5" t="s">
        <v>1869</v>
      </c>
      <c r="Y1" s="5" t="s">
        <v>1870</v>
      </c>
      <c r="Z1" s="5" t="s">
        <v>1860</v>
      </c>
      <c r="AA1" s="5" t="s">
        <v>2215</v>
      </c>
      <c r="AB1" s="5" t="s">
        <v>2216</v>
      </c>
      <c r="AC1" s="5" t="s">
        <v>2348</v>
      </c>
      <c r="AD1" s="5" t="s">
        <v>1393</v>
      </c>
      <c r="AE1" s="5" t="s">
        <v>2164</v>
      </c>
      <c r="AF1" s="5" t="s">
        <v>2165</v>
      </c>
      <c r="AG1" s="5" t="s">
        <v>2166</v>
      </c>
      <c r="AH1" s="5" t="s">
        <v>2167</v>
      </c>
      <c r="AI1" s="5" t="s">
        <v>2168</v>
      </c>
      <c r="AJ1" s="5" t="s">
        <v>1728</v>
      </c>
      <c r="AK1" s="5" t="s">
        <v>1729</v>
      </c>
      <c r="AL1" s="5" t="s">
        <v>1730</v>
      </c>
      <c r="AM1" s="5" t="s">
        <v>2102</v>
      </c>
      <c r="AN1" s="5" t="s">
        <v>1947</v>
      </c>
      <c r="AO1" s="5" t="s">
        <v>1403</v>
      </c>
      <c r="AP1" s="5" t="s">
        <v>1948</v>
      </c>
      <c r="AQ1" s="5" t="s">
        <v>1403</v>
      </c>
      <c r="AR1" s="5" t="s">
        <v>1985</v>
      </c>
      <c r="AS1" s="5" t="s">
        <v>1403</v>
      </c>
      <c r="AT1" s="5" t="s">
        <v>1986</v>
      </c>
      <c r="AU1" s="5" t="s">
        <v>1403</v>
      </c>
      <c r="AV1" s="5" t="s">
        <v>1987</v>
      </c>
      <c r="AW1" s="5" t="s">
        <v>1403</v>
      </c>
      <c r="AX1" s="88" t="s">
        <v>1965</v>
      </c>
      <c r="AY1" s="5" t="s">
        <v>1707</v>
      </c>
      <c r="BA1" s="88" t="s">
        <v>2103</v>
      </c>
      <c r="BB1" s="88" t="s">
        <v>2130</v>
      </c>
      <c r="BC1" s="88" t="s">
        <v>2131</v>
      </c>
      <c r="BD1" s="88" t="s">
        <v>2132</v>
      </c>
      <c r="BE1" s="88" t="s">
        <v>2133</v>
      </c>
      <c r="BF1" s="88" t="s">
        <v>2134</v>
      </c>
      <c r="BG1" s="88" t="s">
        <v>2201</v>
      </c>
      <c r="BH1" s="88" t="s">
        <v>2202</v>
      </c>
      <c r="BI1" s="88" t="s">
        <v>1125</v>
      </c>
      <c r="BJ1" s="88" t="s">
        <v>2199</v>
      </c>
    </row>
    <row r="2" spans="1:62">
      <c r="A2" t="s">
        <v>1507</v>
      </c>
      <c r="C2" s="90"/>
      <c r="D2" s="90"/>
      <c r="E2" s="90">
        <f>((BC2-1)*3)-11</f>
        <v>4</v>
      </c>
      <c r="F2" s="90">
        <f>((BB2-1)*3)-11</f>
        <v>1</v>
      </c>
      <c r="G2" s="90">
        <f>((BB2-1)*3)-11</f>
        <v>1</v>
      </c>
      <c r="H2" s="90">
        <f>((BD2-1)*3)-11</f>
        <v>4</v>
      </c>
      <c r="I2" s="90">
        <f>((BE2-1)*3)-11</f>
        <v>-2</v>
      </c>
      <c r="J2" s="90">
        <f>((BF2-1)*3)-11</f>
        <v>-2</v>
      </c>
      <c r="K2" s="242">
        <f>((BE2-1)+(BF2-1)+(BG2-1))-11</f>
        <v>-4</v>
      </c>
      <c r="L2" s="90">
        <f>((BG2-1)*3)-11</f>
        <v>-8</v>
      </c>
      <c r="M2" s="90">
        <f>BE2-11</f>
        <v>-7</v>
      </c>
      <c r="N2" s="90">
        <v>0</v>
      </c>
      <c r="O2" s="90" t="s">
        <v>702</v>
      </c>
      <c r="P2" s="90">
        <f>BI2</f>
        <v>0</v>
      </c>
      <c r="Q2" s="90">
        <f>BI2</f>
        <v>0</v>
      </c>
      <c r="R2" s="90">
        <f>BI2</f>
        <v>0</v>
      </c>
      <c r="S2" s="90">
        <f>BI2</f>
        <v>0</v>
      </c>
      <c r="T2" s="90">
        <f>BI2</f>
        <v>0</v>
      </c>
      <c r="U2" s="90">
        <f>BI2</f>
        <v>0</v>
      </c>
      <c r="V2" s="90"/>
      <c r="W2" s="90" t="s">
        <v>706</v>
      </c>
      <c r="X2" s="90" t="s">
        <v>707</v>
      </c>
      <c r="Y2" s="90" t="s">
        <v>707</v>
      </c>
      <c r="Z2" s="90" t="s">
        <v>707</v>
      </c>
      <c r="AA2" s="90" t="s">
        <v>707</v>
      </c>
      <c r="AB2" s="90" t="s">
        <v>717</v>
      </c>
      <c r="AC2" s="90">
        <v>6</v>
      </c>
      <c r="AD2" s="90">
        <v>6</v>
      </c>
      <c r="AE2" s="90" t="s">
        <v>708</v>
      </c>
      <c r="AF2" s="90" t="s">
        <v>708</v>
      </c>
      <c r="AG2" s="90" t="s">
        <v>708</v>
      </c>
      <c r="AH2" s="90" t="s">
        <v>708</v>
      </c>
      <c r="AI2" s="90" t="s">
        <v>708</v>
      </c>
      <c r="AJ2" s="90" t="s">
        <v>708</v>
      </c>
      <c r="AK2" s="90" t="s">
        <v>708</v>
      </c>
      <c r="AL2" s="90" t="s">
        <v>708</v>
      </c>
      <c r="AM2" s="90">
        <f>BJ2</f>
        <v>0</v>
      </c>
      <c r="AN2" s="90" t="s">
        <v>718</v>
      </c>
      <c r="AO2" s="90" t="s">
        <v>718</v>
      </c>
      <c r="AP2" s="90" t="s">
        <v>708</v>
      </c>
      <c r="AQ2" s="90" t="s">
        <v>718</v>
      </c>
      <c r="AR2" s="90" t="s">
        <v>708</v>
      </c>
      <c r="AS2" s="90" t="s">
        <v>708</v>
      </c>
      <c r="AT2" s="90" t="s">
        <v>708</v>
      </c>
      <c r="AU2" s="90" t="s">
        <v>708</v>
      </c>
      <c r="AV2" s="90" t="s">
        <v>708</v>
      </c>
      <c r="AW2" s="90" t="s">
        <v>708</v>
      </c>
      <c r="AX2" s="90" t="s">
        <v>702</v>
      </c>
      <c r="AY2" s="90"/>
      <c r="AZ2" s="90"/>
      <c r="BA2" t="s">
        <v>1507</v>
      </c>
      <c r="BB2">
        <v>5</v>
      </c>
      <c r="BC2">
        <v>6</v>
      </c>
      <c r="BD2">
        <v>6</v>
      </c>
      <c r="BE2">
        <v>4</v>
      </c>
      <c r="BF2">
        <v>4</v>
      </c>
      <c r="BG2">
        <v>2</v>
      </c>
    </row>
    <row r="3" spans="1:62">
      <c r="A3" t="s">
        <v>1508</v>
      </c>
      <c r="E3" s="90">
        <f t="shared" ref="E3:E26" si="0">((BC3-1)*3)-11</f>
        <v>10</v>
      </c>
      <c r="F3" s="90">
        <f t="shared" ref="F3:F66" si="1">((BB3-1)*3)-11</f>
        <v>4</v>
      </c>
      <c r="G3" s="90">
        <f t="shared" ref="G3:G66" si="2">((BB3-1)*3)-11</f>
        <v>4</v>
      </c>
      <c r="H3" s="90">
        <f t="shared" ref="H3:H66" si="3">((BD3-1)*3)-11</f>
        <v>4</v>
      </c>
      <c r="I3" s="90">
        <f t="shared" ref="I3:I66" si="4">((BE3-1)*3)-11</f>
        <v>-2</v>
      </c>
      <c r="J3" s="90">
        <f t="shared" ref="J3:J66" si="5">((BF3-1)*3)-11</f>
        <v>1</v>
      </c>
      <c r="K3" s="242">
        <f t="shared" ref="K3:K66" si="6">((BE3-1)+(BF3-1)+(BG3-1))-11</f>
        <v>-2</v>
      </c>
      <c r="L3" s="90">
        <f t="shared" ref="L3:L66" si="7">((BG3-1)*3)-11</f>
        <v>-5</v>
      </c>
      <c r="M3" s="90">
        <f t="shared" ref="M3:M66" si="8">BE3-11</f>
        <v>-7</v>
      </c>
      <c r="N3" s="90">
        <v>0</v>
      </c>
      <c r="O3" s="90" t="s">
        <v>702</v>
      </c>
      <c r="P3" s="90">
        <f t="shared" ref="P3:P66" si="9">BI3</f>
        <v>0</v>
      </c>
      <c r="Q3" s="90">
        <f t="shared" ref="Q3:Q66" si="10">BI3</f>
        <v>0</v>
      </c>
      <c r="R3" s="90">
        <f t="shared" ref="R3:R66" si="11">BI3</f>
        <v>0</v>
      </c>
      <c r="S3" s="90">
        <f t="shared" ref="S3:S66" si="12">BI3</f>
        <v>0</v>
      </c>
      <c r="T3" s="90">
        <f t="shared" ref="T3:T66" si="13">BI3</f>
        <v>0</v>
      </c>
      <c r="U3" s="90">
        <f t="shared" ref="U3:U66" si="14">BI3</f>
        <v>0</v>
      </c>
      <c r="V3" s="90"/>
      <c r="W3" s="90" t="s">
        <v>703</v>
      </c>
      <c r="X3" s="90" t="s">
        <v>703</v>
      </c>
      <c r="Y3" s="90" t="s">
        <v>703</v>
      </c>
      <c r="Z3" s="90" t="s">
        <v>703</v>
      </c>
      <c r="AA3" s="90" t="s">
        <v>703</v>
      </c>
      <c r="AB3" s="90" t="s">
        <v>703</v>
      </c>
      <c r="AC3" s="90" t="s">
        <v>703</v>
      </c>
      <c r="AD3" s="90" t="s">
        <v>703</v>
      </c>
      <c r="AE3" s="90" t="s">
        <v>703</v>
      </c>
      <c r="AF3" s="90" t="s">
        <v>703</v>
      </c>
      <c r="AG3" s="90" t="s">
        <v>703</v>
      </c>
      <c r="AH3" s="90" t="s">
        <v>703</v>
      </c>
      <c r="AI3" s="90" t="s">
        <v>703</v>
      </c>
      <c r="AJ3" s="90" t="s">
        <v>703</v>
      </c>
      <c r="AK3" s="90" t="s">
        <v>703</v>
      </c>
      <c r="AL3" s="90" t="s">
        <v>703</v>
      </c>
      <c r="AM3" s="90">
        <f t="shared" ref="AM3:AM66" si="15">BJ3</f>
        <v>0</v>
      </c>
      <c r="AN3" s="90" t="s">
        <v>703</v>
      </c>
      <c r="AO3" s="90" t="s">
        <v>703</v>
      </c>
      <c r="AP3" s="90" t="s">
        <v>703</v>
      </c>
      <c r="AQ3" s="90" t="s">
        <v>703</v>
      </c>
      <c r="AR3" s="90" t="s">
        <v>703</v>
      </c>
      <c r="AS3" s="90" t="s">
        <v>703</v>
      </c>
      <c r="AT3" s="90" t="s">
        <v>703</v>
      </c>
      <c r="AU3" s="90" t="s">
        <v>703</v>
      </c>
      <c r="AV3" s="90" t="s">
        <v>703</v>
      </c>
      <c r="AW3" s="90" t="s">
        <v>703</v>
      </c>
      <c r="AX3" s="90" t="s">
        <v>702</v>
      </c>
      <c r="BA3" t="s">
        <v>1508</v>
      </c>
      <c r="BB3">
        <v>6</v>
      </c>
      <c r="BC3">
        <v>8</v>
      </c>
      <c r="BD3">
        <v>6</v>
      </c>
      <c r="BE3">
        <v>4</v>
      </c>
      <c r="BF3">
        <v>5</v>
      </c>
      <c r="BG3">
        <v>3</v>
      </c>
    </row>
    <row r="4" spans="1:62">
      <c r="A4" t="s">
        <v>1336</v>
      </c>
      <c r="E4" s="90">
        <f t="shared" si="0"/>
        <v>1</v>
      </c>
      <c r="F4" s="90">
        <f t="shared" si="1"/>
        <v>4</v>
      </c>
      <c r="G4" s="90">
        <f t="shared" si="2"/>
        <v>4</v>
      </c>
      <c r="H4" s="90">
        <f t="shared" si="3"/>
        <v>1</v>
      </c>
      <c r="I4" s="90">
        <f t="shared" si="4"/>
        <v>-2</v>
      </c>
      <c r="J4" s="90">
        <f t="shared" si="5"/>
        <v>1</v>
      </c>
      <c r="K4" s="242">
        <f t="shared" si="6"/>
        <v>-1</v>
      </c>
      <c r="L4" s="90">
        <f t="shared" si="7"/>
        <v>-2</v>
      </c>
      <c r="M4" s="90">
        <f t="shared" si="8"/>
        <v>-7</v>
      </c>
      <c r="N4" s="90">
        <v>0</v>
      </c>
      <c r="O4" s="90" t="s">
        <v>702</v>
      </c>
      <c r="P4" s="90">
        <f t="shared" si="9"/>
        <v>3</v>
      </c>
      <c r="Q4" s="90">
        <f t="shared" si="10"/>
        <v>3</v>
      </c>
      <c r="R4" s="90">
        <f t="shared" si="11"/>
        <v>3</v>
      </c>
      <c r="S4" s="90">
        <f t="shared" si="12"/>
        <v>3</v>
      </c>
      <c r="T4" s="90">
        <f t="shared" si="13"/>
        <v>3</v>
      </c>
      <c r="U4" s="90">
        <f t="shared" si="14"/>
        <v>3</v>
      </c>
      <c r="V4" s="90"/>
      <c r="W4" s="90" t="s">
        <v>703</v>
      </c>
      <c r="X4" s="90" t="s">
        <v>703</v>
      </c>
      <c r="Y4" s="90" t="s">
        <v>703</v>
      </c>
      <c r="Z4" s="90" t="s">
        <v>703</v>
      </c>
      <c r="AA4" s="90" t="s">
        <v>703</v>
      </c>
      <c r="AB4" s="90" t="s">
        <v>703</v>
      </c>
      <c r="AC4" s="90" t="s">
        <v>703</v>
      </c>
      <c r="AD4" s="90" t="s">
        <v>703</v>
      </c>
      <c r="AE4" s="90" t="s">
        <v>703</v>
      </c>
      <c r="AF4" s="90" t="s">
        <v>703</v>
      </c>
      <c r="AG4" s="90" t="s">
        <v>703</v>
      </c>
      <c r="AH4" s="90" t="s">
        <v>703</v>
      </c>
      <c r="AI4" s="90" t="s">
        <v>703</v>
      </c>
      <c r="AJ4" s="90" t="s">
        <v>703</v>
      </c>
      <c r="AK4" s="90" t="s">
        <v>703</v>
      </c>
      <c r="AL4" s="90" t="s">
        <v>703</v>
      </c>
      <c r="AM4" s="90" t="str">
        <f t="shared" si="15"/>
        <v>Killing Glare</v>
      </c>
      <c r="AN4" s="90" t="s">
        <v>703</v>
      </c>
      <c r="AO4" s="90" t="s">
        <v>703</v>
      </c>
      <c r="AP4" s="90" t="s">
        <v>703</v>
      </c>
      <c r="AQ4" s="90" t="s">
        <v>703</v>
      </c>
      <c r="AR4" s="90" t="s">
        <v>703</v>
      </c>
      <c r="AS4" s="90" t="s">
        <v>703</v>
      </c>
      <c r="AT4" s="90" t="s">
        <v>703</v>
      </c>
      <c r="AU4" s="90" t="s">
        <v>703</v>
      </c>
      <c r="AV4" s="90" t="s">
        <v>703</v>
      </c>
      <c r="AW4" s="90" t="s">
        <v>703</v>
      </c>
      <c r="AX4" s="90" t="s">
        <v>702</v>
      </c>
      <c r="BA4" t="s">
        <v>1336</v>
      </c>
      <c r="BB4">
        <v>6</v>
      </c>
      <c r="BC4">
        <v>5</v>
      </c>
      <c r="BD4">
        <v>5</v>
      </c>
      <c r="BE4">
        <v>4</v>
      </c>
      <c r="BF4">
        <v>5</v>
      </c>
      <c r="BG4">
        <v>4</v>
      </c>
      <c r="BH4">
        <v>34</v>
      </c>
      <c r="BI4">
        <v>3</v>
      </c>
      <c r="BJ4" t="s">
        <v>1337</v>
      </c>
    </row>
    <row r="5" spans="1:62">
      <c r="A5" t="s">
        <v>1667</v>
      </c>
      <c r="E5" s="90">
        <f t="shared" si="0"/>
        <v>-8</v>
      </c>
      <c r="F5" s="90">
        <f t="shared" si="1"/>
        <v>10</v>
      </c>
      <c r="G5" s="90">
        <f t="shared" si="2"/>
        <v>10</v>
      </c>
      <c r="H5" s="90">
        <f t="shared" si="3"/>
        <v>-5</v>
      </c>
      <c r="I5" s="90">
        <f t="shared" si="4"/>
        <v>4</v>
      </c>
      <c r="J5" s="90">
        <f t="shared" si="5"/>
        <v>1</v>
      </c>
      <c r="K5" s="242">
        <f t="shared" si="6"/>
        <v>-2</v>
      </c>
      <c r="L5" s="90">
        <f t="shared" si="7"/>
        <v>-11</v>
      </c>
      <c r="M5" s="90">
        <f t="shared" si="8"/>
        <v>-5</v>
      </c>
      <c r="N5" s="90">
        <v>0</v>
      </c>
      <c r="O5" s="90" t="s">
        <v>702</v>
      </c>
      <c r="P5" s="90">
        <f t="shared" si="9"/>
        <v>0</v>
      </c>
      <c r="Q5" s="90">
        <f t="shared" si="10"/>
        <v>0</v>
      </c>
      <c r="R5" s="90">
        <f t="shared" si="11"/>
        <v>0</v>
      </c>
      <c r="S5" s="90">
        <f t="shared" si="12"/>
        <v>0</v>
      </c>
      <c r="T5" s="90">
        <f t="shared" si="13"/>
        <v>0</v>
      </c>
      <c r="U5" s="90">
        <f t="shared" si="14"/>
        <v>0</v>
      </c>
      <c r="V5" s="90"/>
      <c r="W5" s="90" t="s">
        <v>703</v>
      </c>
      <c r="X5" s="90" t="s">
        <v>703</v>
      </c>
      <c r="Y5" s="90" t="s">
        <v>703</v>
      </c>
      <c r="Z5" s="90" t="s">
        <v>703</v>
      </c>
      <c r="AA5" s="90" t="s">
        <v>703</v>
      </c>
      <c r="AB5" s="90" t="s">
        <v>703</v>
      </c>
      <c r="AC5" s="90" t="s">
        <v>703</v>
      </c>
      <c r="AD5" s="90" t="s">
        <v>703</v>
      </c>
      <c r="AE5" s="90" t="s">
        <v>703</v>
      </c>
      <c r="AF5" s="90" t="s">
        <v>703</v>
      </c>
      <c r="AG5" s="90" t="s">
        <v>703</v>
      </c>
      <c r="AH5" s="90" t="s">
        <v>703</v>
      </c>
      <c r="AI5" s="90" t="s">
        <v>703</v>
      </c>
      <c r="AJ5" s="90" t="s">
        <v>703</v>
      </c>
      <c r="AK5" s="90" t="s">
        <v>703</v>
      </c>
      <c r="AL5" s="90" t="s">
        <v>703</v>
      </c>
      <c r="AM5" s="90">
        <f t="shared" si="15"/>
        <v>0</v>
      </c>
      <c r="AN5" s="90" t="s">
        <v>703</v>
      </c>
      <c r="AO5" s="90" t="s">
        <v>703</v>
      </c>
      <c r="AP5" s="90" t="s">
        <v>703</v>
      </c>
      <c r="AQ5" s="90" t="s">
        <v>703</v>
      </c>
      <c r="AR5" s="90" t="s">
        <v>703</v>
      </c>
      <c r="AS5" s="90" t="s">
        <v>703</v>
      </c>
      <c r="AT5" s="90" t="s">
        <v>703</v>
      </c>
      <c r="AU5" s="90" t="s">
        <v>703</v>
      </c>
      <c r="AV5" s="90" t="s">
        <v>703</v>
      </c>
      <c r="AW5" s="90" t="s">
        <v>703</v>
      </c>
      <c r="AX5" s="90" t="s">
        <v>702</v>
      </c>
      <c r="BA5" t="s">
        <v>1667</v>
      </c>
      <c r="BB5">
        <v>8</v>
      </c>
      <c r="BC5">
        <v>2</v>
      </c>
      <c r="BD5">
        <v>3</v>
      </c>
      <c r="BE5">
        <v>6</v>
      </c>
      <c r="BF5">
        <v>5</v>
      </c>
      <c r="BG5">
        <v>1</v>
      </c>
    </row>
    <row r="6" spans="1:62">
      <c r="A6" t="s">
        <v>1330</v>
      </c>
      <c r="E6" s="90">
        <f t="shared" si="0"/>
        <v>7</v>
      </c>
      <c r="F6" s="90">
        <f t="shared" si="1"/>
        <v>1</v>
      </c>
      <c r="G6" s="90">
        <f t="shared" si="2"/>
        <v>1</v>
      </c>
      <c r="H6" s="90">
        <f t="shared" si="3"/>
        <v>4</v>
      </c>
      <c r="I6" s="90">
        <f t="shared" si="4"/>
        <v>-5</v>
      </c>
      <c r="J6" s="90">
        <f t="shared" si="5"/>
        <v>-2</v>
      </c>
      <c r="K6" s="242">
        <f t="shared" si="6"/>
        <v>-2</v>
      </c>
      <c r="L6" s="90">
        <f t="shared" si="7"/>
        <v>1</v>
      </c>
      <c r="M6" s="90">
        <f t="shared" si="8"/>
        <v>-8</v>
      </c>
      <c r="N6" s="90">
        <v>0</v>
      </c>
      <c r="O6" s="90" t="s">
        <v>702</v>
      </c>
      <c r="P6" s="90">
        <f t="shared" si="9"/>
        <v>0</v>
      </c>
      <c r="Q6" s="90">
        <f t="shared" si="10"/>
        <v>0</v>
      </c>
      <c r="R6" s="90">
        <f t="shared" si="11"/>
        <v>0</v>
      </c>
      <c r="S6" s="90">
        <f t="shared" si="12"/>
        <v>0</v>
      </c>
      <c r="T6" s="90">
        <f t="shared" si="13"/>
        <v>0</v>
      </c>
      <c r="U6" s="90">
        <f t="shared" si="14"/>
        <v>0</v>
      </c>
      <c r="V6" s="90"/>
      <c r="W6" s="90" t="s">
        <v>703</v>
      </c>
      <c r="X6" s="90" t="s">
        <v>703</v>
      </c>
      <c r="Y6" s="90" t="s">
        <v>703</v>
      </c>
      <c r="Z6" s="90" t="s">
        <v>703</v>
      </c>
      <c r="AA6" s="90" t="s">
        <v>703</v>
      </c>
      <c r="AB6" s="90" t="s">
        <v>703</v>
      </c>
      <c r="AC6" s="90" t="s">
        <v>703</v>
      </c>
      <c r="AD6" s="90" t="s">
        <v>703</v>
      </c>
      <c r="AE6" s="90" t="s">
        <v>703</v>
      </c>
      <c r="AF6" s="90" t="s">
        <v>703</v>
      </c>
      <c r="AG6" s="90" t="s">
        <v>703</v>
      </c>
      <c r="AH6" s="90" t="s">
        <v>703</v>
      </c>
      <c r="AI6" s="90" t="s">
        <v>703</v>
      </c>
      <c r="AJ6" s="90" t="s">
        <v>703</v>
      </c>
      <c r="AK6" s="90" t="s">
        <v>703</v>
      </c>
      <c r="AL6" s="90" t="s">
        <v>703</v>
      </c>
      <c r="AM6" s="90">
        <f t="shared" si="15"/>
        <v>0</v>
      </c>
      <c r="AN6" s="90" t="s">
        <v>703</v>
      </c>
      <c r="AO6" s="90" t="s">
        <v>703</v>
      </c>
      <c r="AP6" s="90" t="s">
        <v>703</v>
      </c>
      <c r="AQ6" s="90" t="s">
        <v>703</v>
      </c>
      <c r="AR6" s="90" t="s">
        <v>703</v>
      </c>
      <c r="AS6" s="90" t="s">
        <v>703</v>
      </c>
      <c r="AT6" s="90" t="s">
        <v>703</v>
      </c>
      <c r="AU6" s="90" t="s">
        <v>703</v>
      </c>
      <c r="AV6" s="90" t="s">
        <v>703</v>
      </c>
      <c r="AW6" s="90" t="s">
        <v>703</v>
      </c>
      <c r="AX6" s="90" t="s">
        <v>702</v>
      </c>
      <c r="BA6" t="s">
        <v>1330</v>
      </c>
      <c r="BB6">
        <v>5</v>
      </c>
      <c r="BC6">
        <v>7</v>
      </c>
      <c r="BD6">
        <v>6</v>
      </c>
      <c r="BE6">
        <v>3</v>
      </c>
      <c r="BF6">
        <v>4</v>
      </c>
      <c r="BG6">
        <v>5</v>
      </c>
    </row>
    <row r="7" spans="1:62">
      <c r="A7" t="s">
        <v>1077</v>
      </c>
      <c r="E7" s="90">
        <f t="shared" si="0"/>
        <v>22</v>
      </c>
      <c r="F7" s="90">
        <f t="shared" si="1"/>
        <v>37</v>
      </c>
      <c r="G7" s="90">
        <f t="shared" si="2"/>
        <v>37</v>
      </c>
      <c r="H7" s="90">
        <f t="shared" si="3"/>
        <v>40</v>
      </c>
      <c r="I7" s="90">
        <f t="shared" si="4"/>
        <v>46</v>
      </c>
      <c r="J7" s="90">
        <f t="shared" si="5"/>
        <v>46</v>
      </c>
      <c r="K7" s="242">
        <f t="shared" si="6"/>
        <v>48</v>
      </c>
      <c r="L7" s="90">
        <f t="shared" si="7"/>
        <v>52</v>
      </c>
      <c r="M7" s="90">
        <f t="shared" si="8"/>
        <v>9</v>
      </c>
      <c r="N7" s="90">
        <v>0</v>
      </c>
      <c r="O7" s="90" t="s">
        <v>702</v>
      </c>
      <c r="P7" s="90">
        <f t="shared" si="9"/>
        <v>32</v>
      </c>
      <c r="Q7" s="90">
        <f t="shared" si="10"/>
        <v>32</v>
      </c>
      <c r="R7" s="90">
        <f t="shared" si="11"/>
        <v>32</v>
      </c>
      <c r="S7" s="90">
        <f t="shared" si="12"/>
        <v>32</v>
      </c>
      <c r="T7" s="90">
        <f t="shared" si="13"/>
        <v>32</v>
      </c>
      <c r="U7" s="90">
        <f t="shared" si="14"/>
        <v>32</v>
      </c>
      <c r="V7" s="90"/>
      <c r="W7" s="90" t="s">
        <v>703</v>
      </c>
      <c r="X7" s="90" t="s">
        <v>703</v>
      </c>
      <c r="Y7" s="90" t="s">
        <v>703</v>
      </c>
      <c r="Z7" s="90" t="s">
        <v>703</v>
      </c>
      <c r="AA7" s="90" t="s">
        <v>703</v>
      </c>
      <c r="AB7" s="90" t="s">
        <v>703</v>
      </c>
      <c r="AC7" s="90" t="s">
        <v>703</v>
      </c>
      <c r="AD7" s="90" t="s">
        <v>703</v>
      </c>
      <c r="AE7" s="90" t="s">
        <v>703</v>
      </c>
      <c r="AF7" s="90" t="s">
        <v>703</v>
      </c>
      <c r="AG7" s="90" t="s">
        <v>703</v>
      </c>
      <c r="AH7" s="90" t="s">
        <v>703</v>
      </c>
      <c r="AI7" s="90" t="s">
        <v>703</v>
      </c>
      <c r="AJ7" s="90" t="s">
        <v>703</v>
      </c>
      <c r="AK7" s="90" t="s">
        <v>703</v>
      </c>
      <c r="AL7" s="90" t="s">
        <v>703</v>
      </c>
      <c r="AM7" s="90">
        <f t="shared" si="15"/>
        <v>0</v>
      </c>
      <c r="AN7" s="90" t="s">
        <v>703</v>
      </c>
      <c r="AO7" s="90" t="s">
        <v>703</v>
      </c>
      <c r="AP7" s="90" t="s">
        <v>703</v>
      </c>
      <c r="AQ7" s="90" t="s">
        <v>703</v>
      </c>
      <c r="AR7" s="90" t="s">
        <v>703</v>
      </c>
      <c r="AS7" s="90" t="s">
        <v>703</v>
      </c>
      <c r="AT7" s="90" t="s">
        <v>703</v>
      </c>
      <c r="AU7" s="90" t="s">
        <v>703</v>
      </c>
      <c r="AV7" s="90" t="s">
        <v>703</v>
      </c>
      <c r="AW7" s="90" t="s">
        <v>703</v>
      </c>
      <c r="AX7" s="90" t="s">
        <v>702</v>
      </c>
      <c r="BA7" t="s">
        <v>1077</v>
      </c>
      <c r="BB7">
        <v>17</v>
      </c>
      <c r="BC7">
        <v>12</v>
      </c>
      <c r="BD7">
        <v>18</v>
      </c>
      <c r="BE7">
        <v>20</v>
      </c>
      <c r="BF7">
        <v>20</v>
      </c>
      <c r="BG7">
        <v>22</v>
      </c>
      <c r="BH7">
        <v>110</v>
      </c>
      <c r="BI7">
        <v>32</v>
      </c>
    </row>
    <row r="8" spans="1:62">
      <c r="A8" t="s">
        <v>2067</v>
      </c>
      <c r="E8" s="90">
        <f t="shared" si="0"/>
        <v>4</v>
      </c>
      <c r="F8" s="90">
        <f t="shared" si="1"/>
        <v>1</v>
      </c>
      <c r="G8" s="90">
        <f t="shared" si="2"/>
        <v>1</v>
      </c>
      <c r="H8" s="90">
        <f t="shared" si="3"/>
        <v>10</v>
      </c>
      <c r="I8" s="90">
        <f t="shared" si="4"/>
        <v>-2</v>
      </c>
      <c r="J8" s="90">
        <f t="shared" si="5"/>
        <v>-2</v>
      </c>
      <c r="K8" s="242">
        <f t="shared" si="6"/>
        <v>-2</v>
      </c>
      <c r="L8" s="90">
        <f t="shared" si="7"/>
        <v>-2</v>
      </c>
      <c r="M8" s="90">
        <f t="shared" si="8"/>
        <v>-7</v>
      </c>
      <c r="N8" s="90">
        <v>0</v>
      </c>
      <c r="O8" s="90" t="s">
        <v>702</v>
      </c>
      <c r="P8" s="90">
        <f t="shared" si="9"/>
        <v>7</v>
      </c>
      <c r="Q8" s="90">
        <f t="shared" si="10"/>
        <v>7</v>
      </c>
      <c r="R8" s="90">
        <f t="shared" si="11"/>
        <v>7</v>
      </c>
      <c r="S8" s="90">
        <f t="shared" si="12"/>
        <v>7</v>
      </c>
      <c r="T8" s="90">
        <f t="shared" si="13"/>
        <v>7</v>
      </c>
      <c r="U8" s="90">
        <f t="shared" si="14"/>
        <v>7</v>
      </c>
      <c r="V8" s="90"/>
      <c r="W8" s="90" t="s">
        <v>703</v>
      </c>
      <c r="X8" s="90" t="s">
        <v>703</v>
      </c>
      <c r="Y8" s="90" t="s">
        <v>703</v>
      </c>
      <c r="Z8" s="90" t="s">
        <v>703</v>
      </c>
      <c r="AA8" s="90" t="s">
        <v>703</v>
      </c>
      <c r="AB8" s="90" t="s">
        <v>703</v>
      </c>
      <c r="AC8" s="90" t="s">
        <v>703</v>
      </c>
      <c r="AD8" s="90" t="s">
        <v>703</v>
      </c>
      <c r="AE8" s="90" t="s">
        <v>703</v>
      </c>
      <c r="AF8" s="90" t="s">
        <v>703</v>
      </c>
      <c r="AG8" s="90" t="s">
        <v>703</v>
      </c>
      <c r="AH8" s="90" t="s">
        <v>703</v>
      </c>
      <c r="AI8" s="90" t="s">
        <v>703</v>
      </c>
      <c r="AJ8" s="90" t="s">
        <v>703</v>
      </c>
      <c r="AK8" s="90" t="s">
        <v>703</v>
      </c>
      <c r="AL8" s="90" t="s">
        <v>703</v>
      </c>
      <c r="AM8" s="90" t="str">
        <f t="shared" si="15"/>
        <v>Gob/Suffocate</v>
      </c>
      <c r="AN8" s="90" t="s">
        <v>703</v>
      </c>
      <c r="AO8" s="90" t="s">
        <v>703</v>
      </c>
      <c r="AP8" s="90" t="s">
        <v>703</v>
      </c>
      <c r="AQ8" s="90" t="s">
        <v>703</v>
      </c>
      <c r="AR8" s="90" t="s">
        <v>703</v>
      </c>
      <c r="AS8" s="90" t="s">
        <v>703</v>
      </c>
      <c r="AT8" s="90" t="s">
        <v>703</v>
      </c>
      <c r="AU8" s="90" t="s">
        <v>703</v>
      </c>
      <c r="AV8" s="90" t="s">
        <v>703</v>
      </c>
      <c r="AW8" s="90" t="s">
        <v>703</v>
      </c>
      <c r="AX8" s="90" t="s">
        <v>702</v>
      </c>
      <c r="BA8" t="s">
        <v>2067</v>
      </c>
      <c r="BB8">
        <v>5</v>
      </c>
      <c r="BC8">
        <v>6</v>
      </c>
      <c r="BD8">
        <v>8</v>
      </c>
      <c r="BE8">
        <v>4</v>
      </c>
      <c r="BF8">
        <v>4</v>
      </c>
      <c r="BG8">
        <v>4</v>
      </c>
      <c r="BH8">
        <v>24</v>
      </c>
      <c r="BI8">
        <v>7</v>
      </c>
      <c r="BJ8" t="s">
        <v>2200</v>
      </c>
    </row>
    <row r="9" spans="1:62">
      <c r="A9" t="s">
        <v>2205</v>
      </c>
      <c r="E9" s="90">
        <f t="shared" si="0"/>
        <v>4</v>
      </c>
      <c r="F9" s="90">
        <f t="shared" si="1"/>
        <v>1</v>
      </c>
      <c r="G9" s="90">
        <f t="shared" si="2"/>
        <v>1</v>
      </c>
      <c r="H9" s="90">
        <f t="shared" si="3"/>
        <v>7</v>
      </c>
      <c r="I9" s="90">
        <f t="shared" si="4"/>
        <v>-5</v>
      </c>
      <c r="J9" s="90">
        <f t="shared" si="5"/>
        <v>1</v>
      </c>
      <c r="K9" s="242">
        <f t="shared" si="6"/>
        <v>-2</v>
      </c>
      <c r="L9" s="90">
        <f t="shared" si="7"/>
        <v>-2</v>
      </c>
      <c r="M9" s="90">
        <f t="shared" si="8"/>
        <v>-8</v>
      </c>
      <c r="N9" s="90">
        <v>0</v>
      </c>
      <c r="O9" s="90" t="s">
        <v>702</v>
      </c>
      <c r="P9" s="90">
        <f t="shared" si="9"/>
        <v>5</v>
      </c>
      <c r="Q9" s="90">
        <f t="shared" si="10"/>
        <v>5</v>
      </c>
      <c r="R9" s="90">
        <f t="shared" si="11"/>
        <v>5</v>
      </c>
      <c r="S9" s="90">
        <f t="shared" si="12"/>
        <v>5</v>
      </c>
      <c r="T9" s="90">
        <f t="shared" si="13"/>
        <v>5</v>
      </c>
      <c r="U9" s="90">
        <f t="shared" si="14"/>
        <v>5</v>
      </c>
      <c r="V9" s="90"/>
      <c r="W9" s="90" t="s">
        <v>703</v>
      </c>
      <c r="X9" s="90" t="s">
        <v>703</v>
      </c>
      <c r="Y9" s="90" t="s">
        <v>703</v>
      </c>
      <c r="Z9" s="90" t="s">
        <v>703</v>
      </c>
      <c r="AA9" s="90" t="s">
        <v>703</v>
      </c>
      <c r="AB9" s="90" t="s">
        <v>703</v>
      </c>
      <c r="AC9" s="90" t="s">
        <v>703</v>
      </c>
      <c r="AD9" s="90" t="s">
        <v>703</v>
      </c>
      <c r="AE9" s="90" t="s">
        <v>703</v>
      </c>
      <c r="AF9" s="90" t="s">
        <v>703</v>
      </c>
      <c r="AG9" s="90" t="s">
        <v>703</v>
      </c>
      <c r="AH9" s="90" t="s">
        <v>703</v>
      </c>
      <c r="AI9" s="90" t="s">
        <v>703</v>
      </c>
      <c r="AJ9" s="90" t="s">
        <v>703</v>
      </c>
      <c r="AK9" s="90" t="s">
        <v>703</v>
      </c>
      <c r="AL9" s="90" t="s">
        <v>703</v>
      </c>
      <c r="AM9" s="90">
        <f t="shared" si="15"/>
        <v>0</v>
      </c>
      <c r="AN9" s="90" t="s">
        <v>703</v>
      </c>
      <c r="AO9" s="90" t="s">
        <v>703</v>
      </c>
      <c r="AP9" s="90" t="s">
        <v>703</v>
      </c>
      <c r="AQ9" s="90" t="s">
        <v>703</v>
      </c>
      <c r="AR9" s="90" t="s">
        <v>703</v>
      </c>
      <c r="AS9" s="90" t="s">
        <v>703</v>
      </c>
      <c r="AT9" s="90" t="s">
        <v>703</v>
      </c>
      <c r="AU9" s="90" t="s">
        <v>703</v>
      </c>
      <c r="AV9" s="90" t="s">
        <v>703</v>
      </c>
      <c r="AW9" s="90" t="s">
        <v>703</v>
      </c>
      <c r="AX9" s="90" t="s">
        <v>702</v>
      </c>
      <c r="BA9" t="s">
        <v>2205</v>
      </c>
      <c r="BB9">
        <v>5</v>
      </c>
      <c r="BC9">
        <v>6</v>
      </c>
      <c r="BD9">
        <v>7</v>
      </c>
      <c r="BE9">
        <v>3</v>
      </c>
      <c r="BF9">
        <v>5</v>
      </c>
      <c r="BG9">
        <v>4</v>
      </c>
      <c r="BH9">
        <v>54</v>
      </c>
      <c r="BI9">
        <v>5</v>
      </c>
    </row>
    <row r="10" spans="1:62">
      <c r="A10" t="s">
        <v>2206</v>
      </c>
      <c r="B10" s="145" t="s">
        <v>716</v>
      </c>
      <c r="C10" t="s">
        <v>846</v>
      </c>
      <c r="D10" t="s">
        <v>847</v>
      </c>
      <c r="E10" s="90">
        <f t="shared" si="0"/>
        <v>4</v>
      </c>
      <c r="F10" s="90">
        <f t="shared" si="1"/>
        <v>-2</v>
      </c>
      <c r="G10" s="90">
        <f t="shared" si="2"/>
        <v>-2</v>
      </c>
      <c r="H10" s="90">
        <f t="shared" si="3"/>
        <v>7</v>
      </c>
      <c r="I10" s="90">
        <f t="shared" si="4"/>
        <v>-5</v>
      </c>
      <c r="J10" s="90">
        <f t="shared" si="5"/>
        <v>4</v>
      </c>
      <c r="K10" s="242">
        <f t="shared" si="6"/>
        <v>-1</v>
      </c>
      <c r="L10" s="90">
        <f t="shared" si="7"/>
        <v>-2</v>
      </c>
      <c r="M10" s="90">
        <f t="shared" si="8"/>
        <v>-8</v>
      </c>
      <c r="N10" s="90">
        <v>0</v>
      </c>
      <c r="O10" s="90">
        <v>0</v>
      </c>
      <c r="P10" s="90" t="str">
        <f t="shared" si="9"/>
        <v>Skin</v>
      </c>
      <c r="Q10" s="90" t="str">
        <f t="shared" si="10"/>
        <v>Skin</v>
      </c>
      <c r="R10" s="90" t="str">
        <f t="shared" si="11"/>
        <v>Skin</v>
      </c>
      <c r="S10" s="90" t="str">
        <f t="shared" si="12"/>
        <v>Skin</v>
      </c>
      <c r="T10" s="90" t="str">
        <f t="shared" si="13"/>
        <v>Skin</v>
      </c>
      <c r="U10" s="90" t="str">
        <f t="shared" si="14"/>
        <v>Skin</v>
      </c>
      <c r="V10" s="90"/>
      <c r="W10" s="90" t="s">
        <v>704</v>
      </c>
      <c r="X10" s="90" t="s">
        <v>704</v>
      </c>
      <c r="Y10" s="90" t="s">
        <v>705</v>
      </c>
      <c r="Z10" s="90" t="s">
        <v>708</v>
      </c>
      <c r="AA10" s="90" t="s">
        <v>708</v>
      </c>
      <c r="AB10" s="90" t="s">
        <v>708</v>
      </c>
      <c r="AC10" s="90">
        <v>7</v>
      </c>
      <c r="AD10" s="90">
        <v>7</v>
      </c>
      <c r="AE10" s="90" t="s">
        <v>708</v>
      </c>
      <c r="AF10" s="90" t="s">
        <v>718</v>
      </c>
      <c r="AG10" s="90" t="s">
        <v>718</v>
      </c>
      <c r="AH10" s="90" t="s">
        <v>708</v>
      </c>
      <c r="AI10" s="90" t="s">
        <v>708</v>
      </c>
      <c r="AJ10" s="90" t="s">
        <v>708</v>
      </c>
      <c r="AK10" s="90" t="s">
        <v>708</v>
      </c>
      <c r="AL10" s="90" t="s">
        <v>708</v>
      </c>
      <c r="AM10" s="90" t="s">
        <v>715</v>
      </c>
      <c r="AN10" s="90" t="s">
        <v>708</v>
      </c>
      <c r="AO10" s="90" t="s">
        <v>708</v>
      </c>
      <c r="AP10" s="90" t="s">
        <v>708</v>
      </c>
      <c r="AQ10" s="90" t="s">
        <v>708</v>
      </c>
      <c r="AR10" s="90" t="s">
        <v>708</v>
      </c>
      <c r="AS10" s="90" t="s">
        <v>718</v>
      </c>
      <c r="AT10" s="90" t="s">
        <v>718</v>
      </c>
      <c r="AU10" s="90" t="s">
        <v>718</v>
      </c>
      <c r="AV10" s="90" t="s">
        <v>708</v>
      </c>
      <c r="AW10" s="90" t="s">
        <v>708</v>
      </c>
      <c r="AX10" s="90">
        <v>0</v>
      </c>
      <c r="BA10" t="s">
        <v>2206</v>
      </c>
      <c r="BB10">
        <v>4</v>
      </c>
      <c r="BC10">
        <v>6</v>
      </c>
      <c r="BD10">
        <v>7</v>
      </c>
      <c r="BE10">
        <v>3</v>
      </c>
      <c r="BF10">
        <v>6</v>
      </c>
      <c r="BG10">
        <v>4</v>
      </c>
      <c r="BH10">
        <v>36</v>
      </c>
      <c r="BI10" t="s">
        <v>946</v>
      </c>
    </row>
    <row r="11" spans="1:62">
      <c r="A11" t="s">
        <v>1535</v>
      </c>
      <c r="E11" s="90">
        <f t="shared" si="0"/>
        <v>-11</v>
      </c>
      <c r="F11" s="90">
        <f t="shared" si="1"/>
        <v>1</v>
      </c>
      <c r="G11" s="90">
        <f t="shared" si="2"/>
        <v>1</v>
      </c>
      <c r="H11" s="90">
        <f t="shared" si="3"/>
        <v>-8</v>
      </c>
      <c r="I11" s="90">
        <f t="shared" si="4"/>
        <v>1</v>
      </c>
      <c r="J11" s="90">
        <f t="shared" si="5"/>
        <v>1</v>
      </c>
      <c r="K11" s="242">
        <f t="shared" si="6"/>
        <v>0</v>
      </c>
      <c r="L11" s="90">
        <f t="shared" si="7"/>
        <v>-2</v>
      </c>
      <c r="M11" s="90">
        <f t="shared" si="8"/>
        <v>-6</v>
      </c>
      <c r="N11" s="90">
        <v>0</v>
      </c>
      <c r="O11" s="90" t="s">
        <v>702</v>
      </c>
      <c r="P11" s="90">
        <f t="shared" si="9"/>
        <v>0</v>
      </c>
      <c r="Q11" s="90">
        <f t="shared" si="10"/>
        <v>0</v>
      </c>
      <c r="R11" s="90">
        <f t="shared" si="11"/>
        <v>0</v>
      </c>
      <c r="S11" s="90">
        <f t="shared" si="12"/>
        <v>0</v>
      </c>
      <c r="T11" s="90">
        <f t="shared" si="13"/>
        <v>0</v>
      </c>
      <c r="U11" s="90">
        <f t="shared" si="14"/>
        <v>0</v>
      </c>
      <c r="V11" s="90"/>
      <c r="W11" s="90" t="s">
        <v>703</v>
      </c>
      <c r="X11" s="90" t="s">
        <v>703</v>
      </c>
      <c r="Y11" s="90" t="s">
        <v>703</v>
      </c>
      <c r="Z11" s="90" t="s">
        <v>703</v>
      </c>
      <c r="AA11" s="90" t="s">
        <v>703</v>
      </c>
      <c r="AB11" s="90" t="s">
        <v>703</v>
      </c>
      <c r="AC11" s="90" t="s">
        <v>703</v>
      </c>
      <c r="AD11" s="90" t="s">
        <v>703</v>
      </c>
      <c r="AE11" s="90" t="s">
        <v>703</v>
      </c>
      <c r="AF11" s="90" t="s">
        <v>703</v>
      </c>
      <c r="AG11" s="90" t="s">
        <v>703</v>
      </c>
      <c r="AH11" s="90" t="s">
        <v>703</v>
      </c>
      <c r="AI11" s="90" t="s">
        <v>703</v>
      </c>
      <c r="AJ11" s="90" t="s">
        <v>703</v>
      </c>
      <c r="AK11" s="90" t="s">
        <v>703</v>
      </c>
      <c r="AL11" s="90" t="s">
        <v>703</v>
      </c>
      <c r="AM11" s="90">
        <f t="shared" si="15"/>
        <v>0</v>
      </c>
      <c r="AN11" s="90" t="s">
        <v>703</v>
      </c>
      <c r="AO11" s="90" t="s">
        <v>703</v>
      </c>
      <c r="AP11" s="90" t="s">
        <v>703</v>
      </c>
      <c r="AQ11" s="90" t="s">
        <v>703</v>
      </c>
      <c r="AR11" s="90" t="s">
        <v>703</v>
      </c>
      <c r="AS11" s="90" t="s">
        <v>703</v>
      </c>
      <c r="AT11" s="90" t="s">
        <v>703</v>
      </c>
      <c r="AU11" s="90" t="s">
        <v>703</v>
      </c>
      <c r="AV11" s="90" t="s">
        <v>703</v>
      </c>
      <c r="AW11" s="90" t="s">
        <v>703</v>
      </c>
      <c r="AX11" s="90" t="s">
        <v>702</v>
      </c>
      <c r="BA11" t="s">
        <v>1535</v>
      </c>
      <c r="BB11">
        <v>5</v>
      </c>
      <c r="BC11">
        <v>1</v>
      </c>
      <c r="BD11">
        <v>2</v>
      </c>
      <c r="BE11">
        <v>5</v>
      </c>
      <c r="BF11">
        <v>5</v>
      </c>
      <c r="BG11">
        <v>4</v>
      </c>
    </row>
    <row r="12" spans="1:62">
      <c r="A12" t="s">
        <v>1567</v>
      </c>
      <c r="E12" s="90">
        <f t="shared" si="0"/>
        <v>67</v>
      </c>
      <c r="F12" s="90">
        <f t="shared" si="1"/>
        <v>28</v>
      </c>
      <c r="G12" s="90">
        <f t="shared" si="2"/>
        <v>28</v>
      </c>
      <c r="H12" s="90">
        <f t="shared" si="3"/>
        <v>58</v>
      </c>
      <c r="I12" s="90">
        <f t="shared" si="4"/>
        <v>70</v>
      </c>
      <c r="J12" s="90">
        <f t="shared" si="5"/>
        <v>70</v>
      </c>
      <c r="K12" s="242">
        <f t="shared" si="6"/>
        <v>67</v>
      </c>
      <c r="L12" s="90">
        <f t="shared" si="7"/>
        <v>61</v>
      </c>
      <c r="M12" s="90">
        <f t="shared" si="8"/>
        <v>17</v>
      </c>
      <c r="N12" s="90">
        <v>0</v>
      </c>
      <c r="O12" s="90" t="s">
        <v>702</v>
      </c>
      <c r="P12" s="90">
        <f t="shared" si="9"/>
        <v>22</v>
      </c>
      <c r="Q12" s="90">
        <f t="shared" si="10"/>
        <v>22</v>
      </c>
      <c r="R12" s="90">
        <f t="shared" si="11"/>
        <v>22</v>
      </c>
      <c r="S12" s="90">
        <f t="shared" si="12"/>
        <v>22</v>
      </c>
      <c r="T12" s="90">
        <f t="shared" si="13"/>
        <v>22</v>
      </c>
      <c r="U12" s="90">
        <f t="shared" si="14"/>
        <v>22</v>
      </c>
      <c r="V12" s="90"/>
      <c r="W12" s="90" t="s">
        <v>703</v>
      </c>
      <c r="X12" s="90" t="s">
        <v>703</v>
      </c>
      <c r="Y12" s="90" t="s">
        <v>703</v>
      </c>
      <c r="Z12" s="90" t="s">
        <v>703</v>
      </c>
      <c r="AA12" s="90" t="s">
        <v>703</v>
      </c>
      <c r="AB12" s="90" t="s">
        <v>703</v>
      </c>
      <c r="AC12" s="90" t="s">
        <v>703</v>
      </c>
      <c r="AD12" s="90" t="s">
        <v>703</v>
      </c>
      <c r="AE12" s="90" t="s">
        <v>703</v>
      </c>
      <c r="AF12" s="90" t="s">
        <v>703</v>
      </c>
      <c r="AG12" s="90" t="s">
        <v>703</v>
      </c>
      <c r="AH12" s="90" t="s">
        <v>703</v>
      </c>
      <c r="AI12" s="90" t="s">
        <v>703</v>
      </c>
      <c r="AJ12" s="90" t="s">
        <v>703</v>
      </c>
      <c r="AK12" s="90" t="s">
        <v>703</v>
      </c>
      <c r="AL12" s="90" t="s">
        <v>703</v>
      </c>
      <c r="AM12" s="90" t="str">
        <f t="shared" si="15"/>
        <v>Dragon Powers</v>
      </c>
      <c r="AN12" s="90" t="s">
        <v>703</v>
      </c>
      <c r="AO12" s="90" t="s">
        <v>703</v>
      </c>
      <c r="AP12" s="90" t="s">
        <v>703</v>
      </c>
      <c r="AQ12" s="90" t="s">
        <v>703</v>
      </c>
      <c r="AR12" s="90" t="s">
        <v>703</v>
      </c>
      <c r="AS12" s="90" t="s">
        <v>703</v>
      </c>
      <c r="AT12" s="90" t="s">
        <v>703</v>
      </c>
      <c r="AU12" s="90" t="s">
        <v>703</v>
      </c>
      <c r="AV12" s="90" t="s">
        <v>703</v>
      </c>
      <c r="AW12" s="90" t="s">
        <v>703</v>
      </c>
      <c r="AX12" s="90" t="s">
        <v>702</v>
      </c>
      <c r="BA12" t="s">
        <v>1567</v>
      </c>
      <c r="BB12">
        <v>14</v>
      </c>
      <c r="BC12">
        <v>27</v>
      </c>
      <c r="BD12">
        <v>24</v>
      </c>
      <c r="BE12">
        <v>28</v>
      </c>
      <c r="BF12">
        <v>28</v>
      </c>
      <c r="BG12">
        <v>25</v>
      </c>
      <c r="BH12">
        <v>200</v>
      </c>
      <c r="BI12">
        <v>22</v>
      </c>
      <c r="BJ12" t="s">
        <v>1970</v>
      </c>
    </row>
    <row r="13" spans="1:62">
      <c r="A13" t="s">
        <v>1183</v>
      </c>
      <c r="E13" s="90">
        <f t="shared" si="0"/>
        <v>34</v>
      </c>
      <c r="F13" s="90">
        <f t="shared" si="1"/>
        <v>16</v>
      </c>
      <c r="G13" s="90">
        <f t="shared" si="2"/>
        <v>16</v>
      </c>
      <c r="H13" s="90">
        <f t="shared" si="3"/>
        <v>22</v>
      </c>
      <c r="I13" s="90">
        <f t="shared" si="4"/>
        <v>-2</v>
      </c>
      <c r="J13" s="90">
        <f t="shared" si="5"/>
        <v>4</v>
      </c>
      <c r="K13" s="242">
        <f t="shared" si="6"/>
        <v>1</v>
      </c>
      <c r="L13" s="90">
        <f t="shared" si="7"/>
        <v>1</v>
      </c>
      <c r="M13" s="90">
        <f t="shared" si="8"/>
        <v>-7</v>
      </c>
      <c r="N13" s="90">
        <v>0</v>
      </c>
      <c r="O13" s="90" t="s">
        <v>702</v>
      </c>
      <c r="P13" s="90">
        <f t="shared" si="9"/>
        <v>10</v>
      </c>
      <c r="Q13" s="90">
        <f t="shared" si="10"/>
        <v>10</v>
      </c>
      <c r="R13" s="90">
        <f t="shared" si="11"/>
        <v>10</v>
      </c>
      <c r="S13" s="90">
        <f t="shared" si="12"/>
        <v>10</v>
      </c>
      <c r="T13" s="90">
        <f t="shared" si="13"/>
        <v>10</v>
      </c>
      <c r="U13" s="90">
        <f t="shared" si="14"/>
        <v>10</v>
      </c>
      <c r="V13" s="90"/>
      <c r="W13" s="90" t="s">
        <v>703</v>
      </c>
      <c r="X13" s="90" t="s">
        <v>703</v>
      </c>
      <c r="Y13" s="90" t="s">
        <v>703</v>
      </c>
      <c r="Z13" s="90" t="s">
        <v>703</v>
      </c>
      <c r="AA13" s="90" t="s">
        <v>703</v>
      </c>
      <c r="AB13" s="90" t="s">
        <v>703</v>
      </c>
      <c r="AC13" s="90" t="s">
        <v>703</v>
      </c>
      <c r="AD13" s="90" t="s">
        <v>703</v>
      </c>
      <c r="AE13" s="90" t="s">
        <v>703</v>
      </c>
      <c r="AF13" s="90" t="s">
        <v>703</v>
      </c>
      <c r="AG13" s="90" t="s">
        <v>703</v>
      </c>
      <c r="AH13" s="90" t="s">
        <v>703</v>
      </c>
      <c r="AI13" s="90" t="s">
        <v>703</v>
      </c>
      <c r="AJ13" s="90" t="s">
        <v>703</v>
      </c>
      <c r="AK13" s="90" t="s">
        <v>703</v>
      </c>
      <c r="AL13" s="90" t="s">
        <v>703</v>
      </c>
      <c r="AM13" s="90">
        <f t="shared" si="15"/>
        <v>0</v>
      </c>
      <c r="AN13" s="90" t="s">
        <v>703</v>
      </c>
      <c r="AO13" s="90" t="s">
        <v>703</v>
      </c>
      <c r="AP13" s="90" t="s">
        <v>703</v>
      </c>
      <c r="AQ13" s="90" t="s">
        <v>703</v>
      </c>
      <c r="AR13" s="90" t="s">
        <v>703</v>
      </c>
      <c r="AS13" s="90" t="s">
        <v>703</v>
      </c>
      <c r="AT13" s="90" t="s">
        <v>703</v>
      </c>
      <c r="AU13" s="90" t="s">
        <v>703</v>
      </c>
      <c r="AV13" s="90" t="s">
        <v>703</v>
      </c>
      <c r="AW13" s="90" t="s">
        <v>703</v>
      </c>
      <c r="AX13" s="90" t="s">
        <v>702</v>
      </c>
      <c r="BA13" t="s">
        <v>1183</v>
      </c>
      <c r="BB13">
        <v>10</v>
      </c>
      <c r="BC13">
        <v>16</v>
      </c>
      <c r="BD13">
        <v>12</v>
      </c>
      <c r="BE13">
        <v>4</v>
      </c>
      <c r="BF13">
        <v>6</v>
      </c>
      <c r="BG13">
        <v>5</v>
      </c>
      <c r="BH13">
        <v>100</v>
      </c>
      <c r="BI13">
        <v>10</v>
      </c>
    </row>
    <row r="14" spans="1:62">
      <c r="A14" t="s">
        <v>2207</v>
      </c>
      <c r="E14" s="90">
        <f t="shared" si="0"/>
        <v>25</v>
      </c>
      <c r="F14" s="90">
        <f t="shared" si="1"/>
        <v>10</v>
      </c>
      <c r="G14" s="90">
        <f t="shared" si="2"/>
        <v>10</v>
      </c>
      <c r="H14" s="90">
        <f t="shared" si="3"/>
        <v>10</v>
      </c>
      <c r="I14" s="90">
        <f t="shared" si="4"/>
        <v>-5</v>
      </c>
      <c r="J14" s="90">
        <f t="shared" si="5"/>
        <v>4</v>
      </c>
      <c r="K14" s="242">
        <f t="shared" si="6"/>
        <v>0</v>
      </c>
      <c r="L14" s="90">
        <f t="shared" si="7"/>
        <v>1</v>
      </c>
      <c r="M14" s="90">
        <f t="shared" si="8"/>
        <v>-8</v>
      </c>
      <c r="N14" s="90">
        <v>0</v>
      </c>
      <c r="O14" s="90" t="s">
        <v>702</v>
      </c>
      <c r="P14" s="90">
        <f t="shared" si="9"/>
        <v>7</v>
      </c>
      <c r="Q14" s="90">
        <f t="shared" si="10"/>
        <v>7</v>
      </c>
      <c r="R14" s="90">
        <f t="shared" si="11"/>
        <v>7</v>
      </c>
      <c r="S14" s="90">
        <f t="shared" si="12"/>
        <v>7</v>
      </c>
      <c r="T14" s="90">
        <f t="shared" si="13"/>
        <v>7</v>
      </c>
      <c r="U14" s="90">
        <f t="shared" si="14"/>
        <v>7</v>
      </c>
      <c r="V14" s="90"/>
      <c r="W14" s="90" t="s">
        <v>703</v>
      </c>
      <c r="X14" s="90" t="s">
        <v>703</v>
      </c>
      <c r="Y14" s="90" t="s">
        <v>703</v>
      </c>
      <c r="Z14" s="90" t="s">
        <v>703</v>
      </c>
      <c r="AA14" s="90" t="s">
        <v>703</v>
      </c>
      <c r="AB14" s="90" t="s">
        <v>703</v>
      </c>
      <c r="AC14" s="90" t="s">
        <v>703</v>
      </c>
      <c r="AD14" s="90" t="s">
        <v>703</v>
      </c>
      <c r="AE14" s="90" t="s">
        <v>703</v>
      </c>
      <c r="AF14" s="90" t="s">
        <v>703</v>
      </c>
      <c r="AG14" s="90" t="s">
        <v>703</v>
      </c>
      <c r="AH14" s="90" t="s">
        <v>703</v>
      </c>
      <c r="AI14" s="90" t="s">
        <v>703</v>
      </c>
      <c r="AJ14" s="90" t="s">
        <v>703</v>
      </c>
      <c r="AK14" s="90" t="s">
        <v>703</v>
      </c>
      <c r="AL14" s="90" t="s">
        <v>703</v>
      </c>
      <c r="AM14" s="90">
        <f t="shared" si="15"/>
        <v>0</v>
      </c>
      <c r="AN14" s="90" t="s">
        <v>703</v>
      </c>
      <c r="AO14" s="90" t="s">
        <v>703</v>
      </c>
      <c r="AP14" s="90" t="s">
        <v>703</v>
      </c>
      <c r="AQ14" s="90" t="s">
        <v>703</v>
      </c>
      <c r="AR14" s="90" t="s">
        <v>703</v>
      </c>
      <c r="AS14" s="90" t="s">
        <v>703</v>
      </c>
      <c r="AT14" s="90" t="s">
        <v>703</v>
      </c>
      <c r="AU14" s="90" t="s">
        <v>703</v>
      </c>
      <c r="AV14" s="90" t="s">
        <v>703</v>
      </c>
      <c r="AW14" s="90" t="s">
        <v>703</v>
      </c>
      <c r="AX14" s="90" t="s">
        <v>702</v>
      </c>
      <c r="BA14" t="s">
        <v>2207</v>
      </c>
      <c r="BB14">
        <v>8</v>
      </c>
      <c r="BC14">
        <v>13</v>
      </c>
      <c r="BD14">
        <v>8</v>
      </c>
      <c r="BE14">
        <v>3</v>
      </c>
      <c r="BF14">
        <v>6</v>
      </c>
      <c r="BG14">
        <v>5</v>
      </c>
      <c r="BH14">
        <v>40</v>
      </c>
      <c r="BI14">
        <v>7</v>
      </c>
    </row>
    <row r="15" spans="1:62">
      <c r="A15" t="s">
        <v>1996</v>
      </c>
      <c r="E15" s="90">
        <f t="shared" si="0"/>
        <v>-5</v>
      </c>
      <c r="F15" s="90">
        <f t="shared" si="1"/>
        <v>10</v>
      </c>
      <c r="G15" s="90">
        <f t="shared" si="2"/>
        <v>10</v>
      </c>
      <c r="H15" s="90">
        <f t="shared" si="3"/>
        <v>-2</v>
      </c>
      <c r="I15" s="90">
        <f t="shared" si="4"/>
        <v>4</v>
      </c>
      <c r="J15" s="90">
        <f t="shared" si="5"/>
        <v>7</v>
      </c>
      <c r="K15" s="242">
        <f t="shared" si="6"/>
        <v>7</v>
      </c>
      <c r="L15" s="90">
        <f t="shared" si="7"/>
        <v>10</v>
      </c>
      <c r="M15" s="90">
        <f t="shared" si="8"/>
        <v>-5</v>
      </c>
      <c r="N15" s="90">
        <v>0</v>
      </c>
      <c r="O15" s="90" t="s">
        <v>702</v>
      </c>
      <c r="P15" s="90">
        <f t="shared" si="9"/>
        <v>0</v>
      </c>
      <c r="Q15" s="90">
        <f t="shared" si="10"/>
        <v>0</v>
      </c>
      <c r="R15" s="90">
        <f t="shared" si="11"/>
        <v>0</v>
      </c>
      <c r="S15" s="90">
        <f t="shared" si="12"/>
        <v>0</v>
      </c>
      <c r="T15" s="90">
        <f t="shared" si="13"/>
        <v>0</v>
      </c>
      <c r="U15" s="90">
        <f t="shared" si="14"/>
        <v>0</v>
      </c>
      <c r="V15" s="90"/>
      <c r="W15" s="90" t="s">
        <v>703</v>
      </c>
      <c r="X15" s="90" t="s">
        <v>703</v>
      </c>
      <c r="Y15" s="90" t="s">
        <v>703</v>
      </c>
      <c r="Z15" s="90" t="s">
        <v>703</v>
      </c>
      <c r="AA15" s="90" t="s">
        <v>703</v>
      </c>
      <c r="AB15" s="90" t="s">
        <v>703</v>
      </c>
      <c r="AC15" s="90" t="s">
        <v>703</v>
      </c>
      <c r="AD15" s="90" t="s">
        <v>703</v>
      </c>
      <c r="AE15" s="90" t="s">
        <v>703</v>
      </c>
      <c r="AF15" s="90" t="s">
        <v>703</v>
      </c>
      <c r="AG15" s="90" t="s">
        <v>703</v>
      </c>
      <c r="AH15" s="90" t="s">
        <v>703</v>
      </c>
      <c r="AI15" s="90" t="s">
        <v>703</v>
      </c>
      <c r="AJ15" s="90" t="s">
        <v>703</v>
      </c>
      <c r="AK15" s="90" t="s">
        <v>703</v>
      </c>
      <c r="AL15" s="90" t="s">
        <v>703</v>
      </c>
      <c r="AM15" s="90">
        <f t="shared" si="15"/>
        <v>0</v>
      </c>
      <c r="AN15" s="90" t="s">
        <v>703</v>
      </c>
      <c r="AO15" s="90" t="s">
        <v>703</v>
      </c>
      <c r="AP15" s="90" t="s">
        <v>703</v>
      </c>
      <c r="AQ15" s="90" t="s">
        <v>703</v>
      </c>
      <c r="AR15" s="90" t="s">
        <v>703</v>
      </c>
      <c r="AS15" s="90" t="s">
        <v>703</v>
      </c>
      <c r="AT15" s="90" t="s">
        <v>703</v>
      </c>
      <c r="AU15" s="90" t="s">
        <v>703</v>
      </c>
      <c r="AV15" s="90" t="s">
        <v>703</v>
      </c>
      <c r="AW15" s="90" t="s">
        <v>703</v>
      </c>
      <c r="AX15" s="90" t="s">
        <v>702</v>
      </c>
      <c r="BA15" t="s">
        <v>1996</v>
      </c>
      <c r="BB15">
        <v>8</v>
      </c>
      <c r="BC15">
        <v>3</v>
      </c>
      <c r="BD15">
        <v>4</v>
      </c>
      <c r="BE15">
        <v>6</v>
      </c>
      <c r="BF15">
        <v>7</v>
      </c>
      <c r="BG15">
        <v>8</v>
      </c>
      <c r="BH15">
        <v>30</v>
      </c>
      <c r="BI15">
        <v>0</v>
      </c>
    </row>
    <row r="16" spans="1:62">
      <c r="A16" t="s">
        <v>1491</v>
      </c>
      <c r="E16" s="90">
        <f t="shared" si="0"/>
        <v>-2</v>
      </c>
      <c r="F16" s="90">
        <f t="shared" si="1"/>
        <v>13</v>
      </c>
      <c r="G16" s="90">
        <f t="shared" si="2"/>
        <v>13</v>
      </c>
      <c r="H16" s="90">
        <f t="shared" si="3"/>
        <v>1</v>
      </c>
      <c r="I16" s="90">
        <f t="shared" si="4"/>
        <v>10</v>
      </c>
      <c r="J16" s="90">
        <f t="shared" si="5"/>
        <v>1</v>
      </c>
      <c r="K16" s="242">
        <f t="shared" si="6"/>
        <v>5</v>
      </c>
      <c r="L16" s="90">
        <f t="shared" si="7"/>
        <v>4</v>
      </c>
      <c r="M16" s="90">
        <f t="shared" si="8"/>
        <v>-3</v>
      </c>
      <c r="N16" s="90">
        <v>0</v>
      </c>
      <c r="O16" s="90" t="s">
        <v>702</v>
      </c>
      <c r="P16" s="90">
        <f t="shared" si="9"/>
        <v>3</v>
      </c>
      <c r="Q16" s="90">
        <f t="shared" si="10"/>
        <v>3</v>
      </c>
      <c r="R16" s="90">
        <f t="shared" si="11"/>
        <v>3</v>
      </c>
      <c r="S16" s="90">
        <f t="shared" si="12"/>
        <v>3</v>
      </c>
      <c r="T16" s="90">
        <f t="shared" si="13"/>
        <v>3</v>
      </c>
      <c r="U16" s="90">
        <f t="shared" si="14"/>
        <v>3</v>
      </c>
      <c r="V16" s="90"/>
      <c r="W16" s="90" t="s">
        <v>703</v>
      </c>
      <c r="X16" s="90" t="s">
        <v>703</v>
      </c>
      <c r="Y16" s="90" t="s">
        <v>703</v>
      </c>
      <c r="Z16" s="90" t="s">
        <v>703</v>
      </c>
      <c r="AA16" s="90" t="s">
        <v>703</v>
      </c>
      <c r="AB16" s="90" t="s">
        <v>703</v>
      </c>
      <c r="AC16" s="90" t="s">
        <v>703</v>
      </c>
      <c r="AD16" s="90" t="s">
        <v>703</v>
      </c>
      <c r="AE16" s="90" t="s">
        <v>703</v>
      </c>
      <c r="AF16" s="90" t="s">
        <v>703</v>
      </c>
      <c r="AG16" s="90" t="s">
        <v>703</v>
      </c>
      <c r="AH16" s="90" t="s">
        <v>703</v>
      </c>
      <c r="AI16" s="90" t="s">
        <v>703</v>
      </c>
      <c r="AJ16" s="90" t="s">
        <v>703</v>
      </c>
      <c r="AK16" s="90" t="s">
        <v>703</v>
      </c>
      <c r="AL16" s="90" t="s">
        <v>703</v>
      </c>
      <c r="AM16" s="90" t="str">
        <f t="shared" si="15"/>
        <v>Bone Shape</v>
      </c>
      <c r="AN16" s="90" t="s">
        <v>703</v>
      </c>
      <c r="AO16" s="90" t="s">
        <v>703</v>
      </c>
      <c r="AP16" s="90" t="s">
        <v>703</v>
      </c>
      <c r="AQ16" s="90" t="s">
        <v>703</v>
      </c>
      <c r="AR16" s="90" t="s">
        <v>703</v>
      </c>
      <c r="AS16" s="90" t="s">
        <v>703</v>
      </c>
      <c r="AT16" s="90" t="s">
        <v>703</v>
      </c>
      <c r="AU16" s="90" t="s">
        <v>703</v>
      </c>
      <c r="AV16" s="90" t="s">
        <v>703</v>
      </c>
      <c r="AW16" s="90" t="s">
        <v>703</v>
      </c>
      <c r="AX16" s="90" t="s">
        <v>702</v>
      </c>
      <c r="BA16" t="s">
        <v>1491</v>
      </c>
      <c r="BB16">
        <v>9</v>
      </c>
      <c r="BC16">
        <v>4</v>
      </c>
      <c r="BD16">
        <v>5</v>
      </c>
      <c r="BE16">
        <v>8</v>
      </c>
      <c r="BF16">
        <v>5</v>
      </c>
      <c r="BG16">
        <v>6</v>
      </c>
      <c r="BH16">
        <v>40</v>
      </c>
      <c r="BI16">
        <v>3</v>
      </c>
      <c r="BJ16" t="s">
        <v>2159</v>
      </c>
    </row>
    <row r="17" spans="1:62">
      <c r="A17" t="s">
        <v>1835</v>
      </c>
      <c r="E17" s="90">
        <f t="shared" si="0"/>
        <v>52</v>
      </c>
      <c r="F17" s="90">
        <f t="shared" si="1"/>
        <v>46</v>
      </c>
      <c r="G17" s="90">
        <f t="shared" si="2"/>
        <v>46</v>
      </c>
      <c r="H17" s="90">
        <f t="shared" si="3"/>
        <v>40</v>
      </c>
      <c r="I17" s="90">
        <f t="shared" si="4"/>
        <v>46</v>
      </c>
      <c r="J17" s="90">
        <f t="shared" si="5"/>
        <v>55</v>
      </c>
      <c r="K17" s="242">
        <f t="shared" si="6"/>
        <v>48</v>
      </c>
      <c r="L17" s="90">
        <f t="shared" si="7"/>
        <v>43</v>
      </c>
      <c r="M17" s="90">
        <f t="shared" si="8"/>
        <v>9</v>
      </c>
      <c r="N17" s="90">
        <v>0</v>
      </c>
      <c r="O17" s="90" t="s">
        <v>702</v>
      </c>
      <c r="P17" s="90">
        <f t="shared" si="9"/>
        <v>32</v>
      </c>
      <c r="Q17" s="90">
        <f t="shared" si="10"/>
        <v>32</v>
      </c>
      <c r="R17" s="90">
        <f t="shared" si="11"/>
        <v>32</v>
      </c>
      <c r="S17" s="90">
        <f t="shared" si="12"/>
        <v>32</v>
      </c>
      <c r="T17" s="90">
        <f t="shared" si="13"/>
        <v>32</v>
      </c>
      <c r="U17" s="90">
        <f t="shared" si="14"/>
        <v>32</v>
      </c>
      <c r="V17" s="90"/>
      <c r="W17" s="90" t="s">
        <v>703</v>
      </c>
      <c r="X17" s="90" t="s">
        <v>703</v>
      </c>
      <c r="Y17" s="90" t="s">
        <v>703</v>
      </c>
      <c r="Z17" s="90" t="s">
        <v>703</v>
      </c>
      <c r="AA17" s="90" t="s">
        <v>703</v>
      </c>
      <c r="AB17" s="90" t="s">
        <v>703</v>
      </c>
      <c r="AC17" s="90" t="s">
        <v>703</v>
      </c>
      <c r="AD17" s="90" t="s">
        <v>703</v>
      </c>
      <c r="AE17" s="90" t="s">
        <v>703</v>
      </c>
      <c r="AF17" s="90" t="s">
        <v>703</v>
      </c>
      <c r="AG17" s="90" t="s">
        <v>703</v>
      </c>
      <c r="AH17" s="90" t="s">
        <v>703</v>
      </c>
      <c r="AI17" s="90" t="s">
        <v>703</v>
      </c>
      <c r="AJ17" s="90" t="s">
        <v>703</v>
      </c>
      <c r="AK17" s="90" t="s">
        <v>703</v>
      </c>
      <c r="AL17" s="90" t="s">
        <v>703</v>
      </c>
      <c r="AM17" s="90">
        <f t="shared" si="15"/>
        <v>0</v>
      </c>
      <c r="AN17" s="90" t="s">
        <v>703</v>
      </c>
      <c r="AO17" s="90" t="s">
        <v>703</v>
      </c>
      <c r="AP17" s="90" t="s">
        <v>703</v>
      </c>
      <c r="AQ17" s="90" t="s">
        <v>703</v>
      </c>
      <c r="AR17" s="90" t="s">
        <v>703</v>
      </c>
      <c r="AS17" s="90" t="s">
        <v>703</v>
      </c>
      <c r="AT17" s="90" t="s">
        <v>703</v>
      </c>
      <c r="AU17" s="90" t="s">
        <v>703</v>
      </c>
      <c r="AV17" s="90" t="s">
        <v>703</v>
      </c>
      <c r="AW17" s="90" t="s">
        <v>703</v>
      </c>
      <c r="AX17" s="90" t="s">
        <v>702</v>
      </c>
      <c r="BA17" t="s">
        <v>1835</v>
      </c>
      <c r="BB17">
        <v>20</v>
      </c>
      <c r="BC17">
        <v>22</v>
      </c>
      <c r="BD17">
        <v>18</v>
      </c>
      <c r="BE17">
        <v>20</v>
      </c>
      <c r="BF17">
        <v>23</v>
      </c>
      <c r="BG17">
        <v>19</v>
      </c>
      <c r="BH17">
        <v>220</v>
      </c>
      <c r="BI17">
        <v>32</v>
      </c>
    </row>
    <row r="18" spans="1:62">
      <c r="A18" t="s">
        <v>1476</v>
      </c>
      <c r="E18" s="90">
        <f t="shared" si="0"/>
        <v>1</v>
      </c>
      <c r="F18" s="90">
        <f t="shared" si="1"/>
        <v>10</v>
      </c>
      <c r="G18" s="90">
        <f t="shared" si="2"/>
        <v>10</v>
      </c>
      <c r="H18" s="90">
        <f t="shared" si="3"/>
        <v>-2</v>
      </c>
      <c r="I18" s="90">
        <f t="shared" si="4"/>
        <v>1</v>
      </c>
      <c r="J18" s="90">
        <f t="shared" si="5"/>
        <v>-5</v>
      </c>
      <c r="K18" s="242">
        <f t="shared" si="6"/>
        <v>-3</v>
      </c>
      <c r="L18" s="90">
        <f t="shared" si="7"/>
        <v>-5</v>
      </c>
      <c r="M18" s="90">
        <f t="shared" si="8"/>
        <v>-6</v>
      </c>
      <c r="N18" s="90">
        <v>0</v>
      </c>
      <c r="O18" s="90" t="s">
        <v>702</v>
      </c>
      <c r="P18" s="90">
        <f t="shared" si="9"/>
        <v>0</v>
      </c>
      <c r="Q18" s="90">
        <f t="shared" si="10"/>
        <v>0</v>
      </c>
      <c r="R18" s="90">
        <f t="shared" si="11"/>
        <v>0</v>
      </c>
      <c r="S18" s="90">
        <f t="shared" si="12"/>
        <v>0</v>
      </c>
      <c r="T18" s="90">
        <f t="shared" si="13"/>
        <v>0</v>
      </c>
      <c r="U18" s="90">
        <f t="shared" si="14"/>
        <v>0</v>
      </c>
      <c r="V18" s="90"/>
      <c r="W18" s="90" t="s">
        <v>703</v>
      </c>
      <c r="X18" s="90" t="s">
        <v>703</v>
      </c>
      <c r="Y18" s="90" t="s">
        <v>703</v>
      </c>
      <c r="Z18" s="90" t="s">
        <v>703</v>
      </c>
      <c r="AA18" s="90" t="s">
        <v>703</v>
      </c>
      <c r="AB18" s="90" t="s">
        <v>703</v>
      </c>
      <c r="AC18" s="90" t="s">
        <v>703</v>
      </c>
      <c r="AD18" s="90" t="s">
        <v>703</v>
      </c>
      <c r="AE18" s="90" t="s">
        <v>703</v>
      </c>
      <c r="AF18" s="90" t="s">
        <v>703</v>
      </c>
      <c r="AG18" s="90" t="s">
        <v>703</v>
      </c>
      <c r="AH18" s="90" t="s">
        <v>703</v>
      </c>
      <c r="AI18" s="90" t="s">
        <v>703</v>
      </c>
      <c r="AJ18" s="90" t="s">
        <v>703</v>
      </c>
      <c r="AK18" s="90" t="s">
        <v>703</v>
      </c>
      <c r="AL18" s="90" t="s">
        <v>703</v>
      </c>
      <c r="AM18" s="90">
        <f t="shared" si="15"/>
        <v>0</v>
      </c>
      <c r="AN18" s="90" t="s">
        <v>703</v>
      </c>
      <c r="AO18" s="90" t="s">
        <v>703</v>
      </c>
      <c r="AP18" s="90" t="s">
        <v>703</v>
      </c>
      <c r="AQ18" s="90" t="s">
        <v>703</v>
      </c>
      <c r="AR18" s="90" t="s">
        <v>703</v>
      </c>
      <c r="AS18" s="90" t="s">
        <v>703</v>
      </c>
      <c r="AT18" s="90" t="s">
        <v>703</v>
      </c>
      <c r="AU18" s="90" t="s">
        <v>703</v>
      </c>
      <c r="AV18" s="90" t="s">
        <v>703</v>
      </c>
      <c r="AW18" s="90" t="s">
        <v>703</v>
      </c>
      <c r="AX18" s="90" t="s">
        <v>702</v>
      </c>
      <c r="BA18" t="s">
        <v>1476</v>
      </c>
      <c r="BB18">
        <v>8</v>
      </c>
      <c r="BC18">
        <v>5</v>
      </c>
      <c r="BD18">
        <v>4</v>
      </c>
      <c r="BE18">
        <v>5</v>
      </c>
      <c r="BF18">
        <v>3</v>
      </c>
      <c r="BG18">
        <v>3</v>
      </c>
    </row>
    <row r="19" spans="1:62">
      <c r="A19" t="s">
        <v>1821</v>
      </c>
      <c r="E19" s="90">
        <f t="shared" si="0"/>
        <v>22</v>
      </c>
      <c r="F19" s="90">
        <f t="shared" si="1"/>
        <v>16</v>
      </c>
      <c r="G19" s="90">
        <f t="shared" si="2"/>
        <v>16</v>
      </c>
      <c r="H19" s="90">
        <f t="shared" si="3"/>
        <v>19</v>
      </c>
      <c r="I19" s="90">
        <f t="shared" si="4"/>
        <v>-2</v>
      </c>
      <c r="J19" s="90">
        <f t="shared" si="5"/>
        <v>13</v>
      </c>
      <c r="K19" s="242">
        <f t="shared" si="6"/>
        <v>6</v>
      </c>
      <c r="L19" s="90">
        <f t="shared" si="7"/>
        <v>7</v>
      </c>
      <c r="M19" s="90">
        <f t="shared" si="8"/>
        <v>-7</v>
      </c>
      <c r="N19" s="90">
        <v>0</v>
      </c>
      <c r="O19" s="90" t="s">
        <v>702</v>
      </c>
      <c r="P19" s="90">
        <f t="shared" si="9"/>
        <v>6</v>
      </c>
      <c r="Q19" s="90">
        <f t="shared" si="10"/>
        <v>6</v>
      </c>
      <c r="R19" s="90">
        <f t="shared" si="11"/>
        <v>6</v>
      </c>
      <c r="S19" s="90">
        <f t="shared" si="12"/>
        <v>6</v>
      </c>
      <c r="T19" s="90">
        <f t="shared" si="13"/>
        <v>6</v>
      </c>
      <c r="U19" s="90">
        <f t="shared" si="14"/>
        <v>6</v>
      </c>
      <c r="V19" s="90"/>
      <c r="W19" s="90" t="s">
        <v>703</v>
      </c>
      <c r="X19" s="90" t="s">
        <v>703</v>
      </c>
      <c r="Y19" s="90" t="s">
        <v>703</v>
      </c>
      <c r="Z19" s="90" t="s">
        <v>703</v>
      </c>
      <c r="AA19" s="90" t="s">
        <v>703</v>
      </c>
      <c r="AB19" s="90" t="s">
        <v>703</v>
      </c>
      <c r="AC19" s="90" t="s">
        <v>703</v>
      </c>
      <c r="AD19" s="90" t="s">
        <v>703</v>
      </c>
      <c r="AE19" s="90" t="s">
        <v>703</v>
      </c>
      <c r="AF19" s="90" t="s">
        <v>703</v>
      </c>
      <c r="AG19" s="90" t="s">
        <v>703</v>
      </c>
      <c r="AH19" s="90" t="s">
        <v>703</v>
      </c>
      <c r="AI19" s="90" t="s">
        <v>703</v>
      </c>
      <c r="AJ19" s="90" t="s">
        <v>703</v>
      </c>
      <c r="AK19" s="90" t="s">
        <v>703</v>
      </c>
      <c r="AL19" s="90" t="s">
        <v>703</v>
      </c>
      <c r="AM19" s="90" t="str">
        <f t="shared" si="15"/>
        <v>Breath Weapon</v>
      </c>
      <c r="AN19" s="90" t="s">
        <v>703</v>
      </c>
      <c r="AO19" s="90" t="s">
        <v>703</v>
      </c>
      <c r="AP19" s="90" t="s">
        <v>703</v>
      </c>
      <c r="AQ19" s="90" t="s">
        <v>703</v>
      </c>
      <c r="AR19" s="90" t="s">
        <v>703</v>
      </c>
      <c r="AS19" s="90" t="s">
        <v>703</v>
      </c>
      <c r="AT19" s="90" t="s">
        <v>703</v>
      </c>
      <c r="AU19" s="90" t="s">
        <v>703</v>
      </c>
      <c r="AV19" s="90" t="s">
        <v>703</v>
      </c>
      <c r="AW19" s="90" t="s">
        <v>703</v>
      </c>
      <c r="AX19" s="90" t="s">
        <v>702</v>
      </c>
      <c r="BA19" t="s">
        <v>1821</v>
      </c>
      <c r="BB19">
        <v>10</v>
      </c>
      <c r="BC19">
        <v>12</v>
      </c>
      <c r="BD19">
        <v>11</v>
      </c>
      <c r="BE19">
        <v>4</v>
      </c>
      <c r="BF19">
        <v>9</v>
      </c>
      <c r="BG19">
        <v>7</v>
      </c>
      <c r="BH19">
        <v>100</v>
      </c>
      <c r="BI19">
        <v>6</v>
      </c>
      <c r="BJ19" t="s">
        <v>2160</v>
      </c>
    </row>
    <row r="20" spans="1:62">
      <c r="A20" t="s">
        <v>1083</v>
      </c>
      <c r="E20" s="90">
        <f t="shared" si="0"/>
        <v>4</v>
      </c>
      <c r="F20" s="90">
        <f t="shared" si="1"/>
        <v>7</v>
      </c>
      <c r="G20" s="90">
        <f t="shared" si="2"/>
        <v>7</v>
      </c>
      <c r="H20" s="90">
        <f t="shared" si="3"/>
        <v>7</v>
      </c>
      <c r="I20" s="90">
        <f t="shared" si="4"/>
        <v>-5</v>
      </c>
      <c r="J20" s="90">
        <f t="shared" si="5"/>
        <v>4</v>
      </c>
      <c r="K20" s="242">
        <f t="shared" si="6"/>
        <v>0</v>
      </c>
      <c r="L20" s="90">
        <f t="shared" si="7"/>
        <v>1</v>
      </c>
      <c r="M20" s="90">
        <f t="shared" si="8"/>
        <v>-8</v>
      </c>
      <c r="N20" s="90">
        <v>0</v>
      </c>
      <c r="O20" s="90" t="s">
        <v>702</v>
      </c>
      <c r="P20" s="90">
        <f t="shared" si="9"/>
        <v>6</v>
      </c>
      <c r="Q20" s="90">
        <f t="shared" si="10"/>
        <v>6</v>
      </c>
      <c r="R20" s="90">
        <f t="shared" si="11"/>
        <v>6</v>
      </c>
      <c r="S20" s="90">
        <f t="shared" si="12"/>
        <v>6</v>
      </c>
      <c r="T20" s="90">
        <f t="shared" si="13"/>
        <v>6</v>
      </c>
      <c r="U20" s="90">
        <f t="shared" si="14"/>
        <v>6</v>
      </c>
      <c r="V20" s="90"/>
      <c r="W20" s="90" t="s">
        <v>703</v>
      </c>
      <c r="X20" s="90" t="s">
        <v>703</v>
      </c>
      <c r="Y20" s="90" t="s">
        <v>703</v>
      </c>
      <c r="Z20" s="90" t="s">
        <v>703</v>
      </c>
      <c r="AA20" s="90" t="s">
        <v>703</v>
      </c>
      <c r="AB20" s="90" t="s">
        <v>703</v>
      </c>
      <c r="AC20" s="90" t="s">
        <v>703</v>
      </c>
      <c r="AD20" s="90" t="s">
        <v>703</v>
      </c>
      <c r="AE20" s="90" t="s">
        <v>703</v>
      </c>
      <c r="AF20" s="90" t="s">
        <v>703</v>
      </c>
      <c r="AG20" s="90" t="s">
        <v>703</v>
      </c>
      <c r="AH20" s="90" t="s">
        <v>703</v>
      </c>
      <c r="AI20" s="90" t="s">
        <v>703</v>
      </c>
      <c r="AJ20" s="90" t="s">
        <v>703</v>
      </c>
      <c r="AK20" s="90" t="s">
        <v>703</v>
      </c>
      <c r="AL20" s="90" t="s">
        <v>703</v>
      </c>
      <c r="AM20" s="90" t="str">
        <f t="shared" si="15"/>
        <v>Paralytic Poison</v>
      </c>
      <c r="AN20" s="90" t="s">
        <v>703</v>
      </c>
      <c r="AO20" s="90" t="s">
        <v>703</v>
      </c>
      <c r="AP20" s="90" t="s">
        <v>703</v>
      </c>
      <c r="AQ20" s="90" t="s">
        <v>703</v>
      </c>
      <c r="AR20" s="90" t="s">
        <v>703</v>
      </c>
      <c r="AS20" s="90" t="s">
        <v>703</v>
      </c>
      <c r="AT20" s="90" t="s">
        <v>703</v>
      </c>
      <c r="AU20" s="90" t="s">
        <v>703</v>
      </c>
      <c r="AV20" s="90" t="s">
        <v>703</v>
      </c>
      <c r="AW20" s="90" t="s">
        <v>703</v>
      </c>
      <c r="AX20" s="90" t="s">
        <v>702</v>
      </c>
      <c r="BA20" t="s">
        <v>1083</v>
      </c>
      <c r="BB20">
        <v>7</v>
      </c>
      <c r="BC20">
        <v>6</v>
      </c>
      <c r="BD20">
        <v>7</v>
      </c>
      <c r="BE20">
        <v>3</v>
      </c>
      <c r="BF20">
        <v>6</v>
      </c>
      <c r="BG20">
        <v>5</v>
      </c>
      <c r="BH20">
        <v>50</v>
      </c>
      <c r="BI20">
        <v>6</v>
      </c>
      <c r="BJ20" t="s">
        <v>2161</v>
      </c>
    </row>
    <row r="21" spans="1:62">
      <c r="A21" t="s">
        <v>1571</v>
      </c>
      <c r="E21" s="90">
        <f t="shared" si="0"/>
        <v>61</v>
      </c>
      <c r="F21" s="90">
        <f t="shared" si="1"/>
        <v>40</v>
      </c>
      <c r="G21" s="90">
        <f t="shared" si="2"/>
        <v>40</v>
      </c>
      <c r="H21" s="90">
        <f t="shared" si="3"/>
        <v>67</v>
      </c>
      <c r="I21" s="90">
        <f t="shared" si="4"/>
        <v>43</v>
      </c>
      <c r="J21" s="90">
        <f t="shared" si="5"/>
        <v>52</v>
      </c>
      <c r="K21" s="242">
        <f t="shared" si="6"/>
        <v>47</v>
      </c>
      <c r="L21" s="90">
        <f t="shared" si="7"/>
        <v>46</v>
      </c>
      <c r="M21" s="90">
        <f t="shared" si="8"/>
        <v>8</v>
      </c>
      <c r="N21" s="90">
        <v>0</v>
      </c>
      <c r="O21" s="90" t="s">
        <v>702</v>
      </c>
      <c r="P21" s="90">
        <f t="shared" si="9"/>
        <v>29</v>
      </c>
      <c r="Q21" s="90">
        <f t="shared" si="10"/>
        <v>29</v>
      </c>
      <c r="R21" s="90">
        <f t="shared" si="11"/>
        <v>29</v>
      </c>
      <c r="S21" s="90">
        <f t="shared" si="12"/>
        <v>29</v>
      </c>
      <c r="T21" s="90">
        <f t="shared" si="13"/>
        <v>29</v>
      </c>
      <c r="U21" s="90">
        <f t="shared" si="14"/>
        <v>29</v>
      </c>
      <c r="V21" s="90"/>
      <c r="W21" s="90" t="s">
        <v>703</v>
      </c>
      <c r="X21" s="90" t="s">
        <v>703</v>
      </c>
      <c r="Y21" s="90" t="s">
        <v>703</v>
      </c>
      <c r="Z21" s="90" t="s">
        <v>703</v>
      </c>
      <c r="AA21" s="90" t="s">
        <v>703</v>
      </c>
      <c r="AB21" s="90" t="s">
        <v>703</v>
      </c>
      <c r="AC21" s="90" t="s">
        <v>703</v>
      </c>
      <c r="AD21" s="90" t="s">
        <v>703</v>
      </c>
      <c r="AE21" s="90" t="s">
        <v>703</v>
      </c>
      <c r="AF21" s="90" t="s">
        <v>703</v>
      </c>
      <c r="AG21" s="90" t="s">
        <v>703</v>
      </c>
      <c r="AH21" s="90" t="s">
        <v>703</v>
      </c>
      <c r="AI21" s="90" t="s">
        <v>703</v>
      </c>
      <c r="AJ21" s="90" t="s">
        <v>703</v>
      </c>
      <c r="AK21" s="90" t="s">
        <v>703</v>
      </c>
      <c r="AL21" s="90" t="s">
        <v>703</v>
      </c>
      <c r="AM21" s="90" t="str">
        <f t="shared" si="15"/>
        <v>Dragon Powers</v>
      </c>
      <c r="AN21" s="90" t="s">
        <v>703</v>
      </c>
      <c r="AO21" s="90" t="s">
        <v>703</v>
      </c>
      <c r="AP21" s="90" t="s">
        <v>703</v>
      </c>
      <c r="AQ21" s="90" t="s">
        <v>703</v>
      </c>
      <c r="AR21" s="90" t="s">
        <v>703</v>
      </c>
      <c r="AS21" s="90" t="s">
        <v>703</v>
      </c>
      <c r="AT21" s="90" t="s">
        <v>703</v>
      </c>
      <c r="AU21" s="90" t="s">
        <v>703</v>
      </c>
      <c r="AV21" s="90" t="s">
        <v>703</v>
      </c>
      <c r="AW21" s="90" t="s">
        <v>703</v>
      </c>
      <c r="AX21" s="90" t="s">
        <v>702</v>
      </c>
      <c r="BA21" t="s">
        <v>1571</v>
      </c>
      <c r="BB21">
        <v>18</v>
      </c>
      <c r="BC21">
        <v>25</v>
      </c>
      <c r="BD21">
        <v>27</v>
      </c>
      <c r="BE21">
        <v>19</v>
      </c>
      <c r="BF21">
        <v>22</v>
      </c>
      <c r="BG21">
        <v>20</v>
      </c>
      <c r="BH21">
        <v>240</v>
      </c>
      <c r="BI21">
        <v>29</v>
      </c>
      <c r="BJ21" t="s">
        <v>1970</v>
      </c>
    </row>
    <row r="22" spans="1:62">
      <c r="A22" t="s">
        <v>1997</v>
      </c>
      <c r="E22" s="90">
        <f t="shared" si="0"/>
        <v>7</v>
      </c>
      <c r="F22" s="90">
        <f t="shared" si="1"/>
        <v>1</v>
      </c>
      <c r="G22" s="90">
        <f t="shared" si="2"/>
        <v>1</v>
      </c>
      <c r="H22" s="90">
        <f t="shared" si="3"/>
        <v>1</v>
      </c>
      <c r="I22" s="90">
        <f t="shared" si="4"/>
        <v>-8</v>
      </c>
      <c r="J22" s="90">
        <f t="shared" si="5"/>
        <v>7</v>
      </c>
      <c r="K22" s="242">
        <f t="shared" si="6"/>
        <v>-2</v>
      </c>
      <c r="L22" s="90">
        <f t="shared" si="7"/>
        <v>-5</v>
      </c>
      <c r="M22" s="90">
        <f t="shared" si="8"/>
        <v>-9</v>
      </c>
      <c r="N22" s="90">
        <v>0</v>
      </c>
      <c r="O22" s="90" t="s">
        <v>702</v>
      </c>
      <c r="P22" s="90">
        <f t="shared" si="9"/>
        <v>3</v>
      </c>
      <c r="Q22" s="90">
        <f t="shared" si="10"/>
        <v>3</v>
      </c>
      <c r="R22" s="90">
        <f t="shared" si="11"/>
        <v>3</v>
      </c>
      <c r="S22" s="90">
        <f t="shared" si="12"/>
        <v>3</v>
      </c>
      <c r="T22" s="90">
        <f t="shared" si="13"/>
        <v>3</v>
      </c>
      <c r="U22" s="90">
        <f t="shared" si="14"/>
        <v>3</v>
      </c>
      <c r="V22" s="90"/>
      <c r="W22" s="90" t="s">
        <v>703</v>
      </c>
      <c r="X22" s="90" t="s">
        <v>703</v>
      </c>
      <c r="Y22" s="90" t="s">
        <v>703</v>
      </c>
      <c r="Z22" s="90" t="s">
        <v>703</v>
      </c>
      <c r="AA22" s="90" t="s">
        <v>703</v>
      </c>
      <c r="AB22" s="90" t="s">
        <v>703</v>
      </c>
      <c r="AC22" s="90" t="s">
        <v>703</v>
      </c>
      <c r="AD22" s="90" t="s">
        <v>703</v>
      </c>
      <c r="AE22" s="90" t="s">
        <v>703</v>
      </c>
      <c r="AF22" s="90" t="s">
        <v>703</v>
      </c>
      <c r="AG22" s="90" t="s">
        <v>703</v>
      </c>
      <c r="AH22" s="90" t="s">
        <v>703</v>
      </c>
      <c r="AI22" s="90" t="s">
        <v>703</v>
      </c>
      <c r="AJ22" s="90" t="s">
        <v>703</v>
      </c>
      <c r="AK22" s="90" t="s">
        <v>703</v>
      </c>
      <c r="AL22" s="90" t="s">
        <v>703</v>
      </c>
      <c r="AM22" s="90" t="str">
        <f t="shared" si="15"/>
        <v>Paralysis Gas</v>
      </c>
      <c r="AN22" s="90" t="s">
        <v>703</v>
      </c>
      <c r="AO22" s="90" t="s">
        <v>703</v>
      </c>
      <c r="AP22" s="90" t="s">
        <v>703</v>
      </c>
      <c r="AQ22" s="90" t="s">
        <v>703</v>
      </c>
      <c r="AR22" s="90" t="s">
        <v>703</v>
      </c>
      <c r="AS22" s="90" t="s">
        <v>703</v>
      </c>
      <c r="AT22" s="90" t="s">
        <v>703</v>
      </c>
      <c r="AU22" s="90" t="s">
        <v>703</v>
      </c>
      <c r="AV22" s="90" t="s">
        <v>703</v>
      </c>
      <c r="AW22" s="90" t="s">
        <v>703</v>
      </c>
      <c r="AX22" s="90" t="s">
        <v>702</v>
      </c>
      <c r="BA22" t="s">
        <v>1997</v>
      </c>
      <c r="BB22">
        <v>5</v>
      </c>
      <c r="BC22">
        <v>7</v>
      </c>
      <c r="BD22">
        <v>5</v>
      </c>
      <c r="BE22">
        <v>2</v>
      </c>
      <c r="BF22">
        <v>7</v>
      </c>
      <c r="BG22">
        <v>3</v>
      </c>
      <c r="BH22">
        <v>28</v>
      </c>
      <c r="BI22">
        <v>3</v>
      </c>
      <c r="BJ22" t="s">
        <v>1998</v>
      </c>
    </row>
    <row r="23" spans="1:62">
      <c r="A23" t="s">
        <v>1477</v>
      </c>
      <c r="E23" s="90">
        <f t="shared" si="0"/>
        <v>1</v>
      </c>
      <c r="F23" s="90">
        <f t="shared" si="1"/>
        <v>1</v>
      </c>
      <c r="G23" s="90">
        <f t="shared" si="2"/>
        <v>1</v>
      </c>
      <c r="H23" s="90">
        <f t="shared" si="3"/>
        <v>4</v>
      </c>
      <c r="I23" s="90">
        <f t="shared" si="4"/>
        <v>-2</v>
      </c>
      <c r="J23" s="90">
        <f t="shared" si="5"/>
        <v>-2</v>
      </c>
      <c r="K23" s="242">
        <f t="shared" si="6"/>
        <v>-3</v>
      </c>
      <c r="L23" s="90">
        <f t="shared" si="7"/>
        <v>-5</v>
      </c>
      <c r="M23" s="90">
        <f t="shared" si="8"/>
        <v>-7</v>
      </c>
      <c r="N23" s="90">
        <v>0</v>
      </c>
      <c r="O23" s="90" t="s">
        <v>702</v>
      </c>
      <c r="P23" s="90">
        <f t="shared" si="9"/>
        <v>0</v>
      </c>
      <c r="Q23" s="90">
        <f t="shared" si="10"/>
        <v>0</v>
      </c>
      <c r="R23" s="90">
        <f t="shared" si="11"/>
        <v>0</v>
      </c>
      <c r="S23" s="90">
        <f t="shared" si="12"/>
        <v>0</v>
      </c>
      <c r="T23" s="90">
        <f t="shared" si="13"/>
        <v>0</v>
      </c>
      <c r="U23" s="90">
        <f t="shared" si="14"/>
        <v>0</v>
      </c>
      <c r="V23" s="90"/>
      <c r="W23" s="90" t="s">
        <v>703</v>
      </c>
      <c r="X23" s="90" t="s">
        <v>703</v>
      </c>
      <c r="Y23" s="90" t="s">
        <v>703</v>
      </c>
      <c r="Z23" s="90" t="s">
        <v>703</v>
      </c>
      <c r="AA23" s="90" t="s">
        <v>703</v>
      </c>
      <c r="AB23" s="90" t="s">
        <v>703</v>
      </c>
      <c r="AC23" s="90" t="s">
        <v>703</v>
      </c>
      <c r="AD23" s="90" t="s">
        <v>703</v>
      </c>
      <c r="AE23" s="90" t="s">
        <v>703</v>
      </c>
      <c r="AF23" s="90" t="s">
        <v>703</v>
      </c>
      <c r="AG23" s="90" t="s">
        <v>703</v>
      </c>
      <c r="AH23" s="90" t="s">
        <v>703</v>
      </c>
      <c r="AI23" s="90" t="s">
        <v>703</v>
      </c>
      <c r="AJ23" s="90" t="s">
        <v>703</v>
      </c>
      <c r="AK23" s="90" t="s">
        <v>703</v>
      </c>
      <c r="AL23" s="90" t="s">
        <v>703</v>
      </c>
      <c r="AM23" s="90">
        <f t="shared" si="15"/>
        <v>0</v>
      </c>
      <c r="AN23" s="90" t="s">
        <v>703</v>
      </c>
      <c r="AO23" s="90" t="s">
        <v>703</v>
      </c>
      <c r="AP23" s="90" t="s">
        <v>703</v>
      </c>
      <c r="AQ23" s="90" t="s">
        <v>703</v>
      </c>
      <c r="AR23" s="90" t="s">
        <v>703</v>
      </c>
      <c r="AS23" s="90" t="s">
        <v>703</v>
      </c>
      <c r="AT23" s="90" t="s">
        <v>703</v>
      </c>
      <c r="AU23" s="90" t="s">
        <v>703</v>
      </c>
      <c r="AV23" s="90" t="s">
        <v>703</v>
      </c>
      <c r="AW23" s="90" t="s">
        <v>703</v>
      </c>
      <c r="AX23" s="90" t="s">
        <v>702</v>
      </c>
      <c r="BA23" t="s">
        <v>1477</v>
      </c>
      <c r="BB23">
        <v>5</v>
      </c>
      <c r="BC23">
        <v>5</v>
      </c>
      <c r="BD23">
        <v>6</v>
      </c>
      <c r="BE23">
        <v>4</v>
      </c>
      <c r="BF23">
        <v>4</v>
      </c>
      <c r="BG23">
        <v>3</v>
      </c>
    </row>
    <row r="24" spans="1:62">
      <c r="A24" t="s">
        <v>1836</v>
      </c>
      <c r="E24" s="90">
        <f t="shared" si="0"/>
        <v>4</v>
      </c>
      <c r="F24" s="90">
        <f t="shared" si="1"/>
        <v>-2</v>
      </c>
      <c r="G24" s="90">
        <f t="shared" si="2"/>
        <v>-2</v>
      </c>
      <c r="H24" s="90">
        <f t="shared" si="3"/>
        <v>7</v>
      </c>
      <c r="I24" s="90">
        <f t="shared" si="4"/>
        <v>-5</v>
      </c>
      <c r="J24" s="90">
        <f t="shared" si="5"/>
        <v>4</v>
      </c>
      <c r="K24" s="242">
        <f t="shared" si="6"/>
        <v>-1</v>
      </c>
      <c r="L24" s="90">
        <f t="shared" si="7"/>
        <v>-2</v>
      </c>
      <c r="M24" s="90">
        <f t="shared" si="8"/>
        <v>-8</v>
      </c>
      <c r="N24" s="90">
        <v>0</v>
      </c>
      <c r="O24" s="90" t="s">
        <v>702</v>
      </c>
      <c r="P24" s="90">
        <f t="shared" si="9"/>
        <v>13</v>
      </c>
      <c r="Q24" s="90">
        <f t="shared" si="10"/>
        <v>13</v>
      </c>
      <c r="R24" s="90">
        <f t="shared" si="11"/>
        <v>13</v>
      </c>
      <c r="S24" s="90">
        <f t="shared" si="12"/>
        <v>13</v>
      </c>
      <c r="T24" s="90">
        <f t="shared" si="13"/>
        <v>13</v>
      </c>
      <c r="U24" s="90">
        <f t="shared" si="14"/>
        <v>13</v>
      </c>
      <c r="V24" s="90"/>
      <c r="W24" s="90" t="s">
        <v>703</v>
      </c>
      <c r="X24" s="90" t="s">
        <v>703</v>
      </c>
      <c r="Y24" s="90" t="s">
        <v>703</v>
      </c>
      <c r="Z24" s="90" t="s">
        <v>703</v>
      </c>
      <c r="AA24" s="90" t="s">
        <v>703</v>
      </c>
      <c r="AB24" s="90" t="s">
        <v>703</v>
      </c>
      <c r="AC24" s="90" t="s">
        <v>703</v>
      </c>
      <c r="AD24" s="90" t="s">
        <v>703</v>
      </c>
      <c r="AE24" s="90" t="s">
        <v>703</v>
      </c>
      <c r="AF24" s="90" t="s">
        <v>703</v>
      </c>
      <c r="AG24" s="90" t="s">
        <v>703</v>
      </c>
      <c r="AH24" s="90" t="s">
        <v>703</v>
      </c>
      <c r="AI24" s="90" t="s">
        <v>703</v>
      </c>
      <c r="AJ24" s="90" t="s">
        <v>703</v>
      </c>
      <c r="AK24" s="90" t="s">
        <v>703</v>
      </c>
      <c r="AL24" s="90" t="s">
        <v>703</v>
      </c>
      <c r="AM24" s="90">
        <f t="shared" si="15"/>
        <v>0</v>
      </c>
      <c r="AN24" s="90" t="s">
        <v>703</v>
      </c>
      <c r="AO24" s="90" t="s">
        <v>703</v>
      </c>
      <c r="AP24" s="90" t="s">
        <v>703</v>
      </c>
      <c r="AQ24" s="90" t="s">
        <v>703</v>
      </c>
      <c r="AR24" s="90" t="s">
        <v>703</v>
      </c>
      <c r="AS24" s="90" t="s">
        <v>703</v>
      </c>
      <c r="AT24" s="90" t="s">
        <v>703</v>
      </c>
      <c r="AU24" s="90" t="s">
        <v>703</v>
      </c>
      <c r="AV24" s="90" t="s">
        <v>703</v>
      </c>
      <c r="AW24" s="90" t="s">
        <v>703</v>
      </c>
      <c r="AX24" s="90" t="s">
        <v>702</v>
      </c>
      <c r="BA24" t="s">
        <v>1836</v>
      </c>
      <c r="BB24">
        <v>4</v>
      </c>
      <c r="BC24">
        <v>6</v>
      </c>
      <c r="BD24">
        <v>7</v>
      </c>
      <c r="BE24">
        <v>3</v>
      </c>
      <c r="BF24">
        <v>6</v>
      </c>
      <c r="BG24">
        <v>4</v>
      </c>
      <c r="BH24">
        <v>80</v>
      </c>
      <c r="BI24">
        <v>13</v>
      </c>
    </row>
    <row r="25" spans="1:62">
      <c r="A25" t="s">
        <v>2162</v>
      </c>
      <c r="E25" s="90">
        <f t="shared" si="0"/>
        <v>-5</v>
      </c>
      <c r="F25" s="90">
        <f t="shared" si="1"/>
        <v>7</v>
      </c>
      <c r="G25" s="90">
        <f t="shared" si="2"/>
        <v>7</v>
      </c>
      <c r="H25" s="90">
        <f t="shared" si="3"/>
        <v>-5</v>
      </c>
      <c r="I25" s="90">
        <f t="shared" si="4"/>
        <v>-5</v>
      </c>
      <c r="J25" s="90">
        <f t="shared" si="5"/>
        <v>-2</v>
      </c>
      <c r="K25" s="242">
        <f t="shared" si="6"/>
        <v>-3</v>
      </c>
      <c r="L25" s="90">
        <f t="shared" si="7"/>
        <v>-2</v>
      </c>
      <c r="M25" s="90">
        <f t="shared" si="8"/>
        <v>-8</v>
      </c>
      <c r="N25" s="90">
        <v>0</v>
      </c>
      <c r="O25" s="90" t="s">
        <v>702</v>
      </c>
      <c r="P25" s="90">
        <f t="shared" si="9"/>
        <v>1</v>
      </c>
      <c r="Q25" s="90">
        <f t="shared" si="10"/>
        <v>1</v>
      </c>
      <c r="R25" s="90">
        <f t="shared" si="11"/>
        <v>1</v>
      </c>
      <c r="S25" s="90">
        <f t="shared" si="12"/>
        <v>1</v>
      </c>
      <c r="T25" s="90">
        <f t="shared" si="13"/>
        <v>1</v>
      </c>
      <c r="U25" s="90">
        <f t="shared" si="14"/>
        <v>1</v>
      </c>
      <c r="V25" s="90"/>
      <c r="W25" s="90" t="s">
        <v>703</v>
      </c>
      <c r="X25" s="90" t="s">
        <v>703</v>
      </c>
      <c r="Y25" s="90" t="s">
        <v>703</v>
      </c>
      <c r="Z25" s="90" t="s">
        <v>703</v>
      </c>
      <c r="AA25" s="90" t="s">
        <v>703</v>
      </c>
      <c r="AB25" s="90" t="s">
        <v>703</v>
      </c>
      <c r="AC25" s="90" t="s">
        <v>703</v>
      </c>
      <c r="AD25" s="90" t="s">
        <v>703</v>
      </c>
      <c r="AE25" s="90" t="s">
        <v>703</v>
      </c>
      <c r="AF25" s="90" t="s">
        <v>703</v>
      </c>
      <c r="AG25" s="90" t="s">
        <v>703</v>
      </c>
      <c r="AH25" s="90" t="s">
        <v>703</v>
      </c>
      <c r="AI25" s="90" t="s">
        <v>703</v>
      </c>
      <c r="AJ25" s="90" t="s">
        <v>703</v>
      </c>
      <c r="AK25" s="90" t="s">
        <v>703</v>
      </c>
      <c r="AL25" s="90" t="s">
        <v>703</v>
      </c>
      <c r="AM25" s="90" t="str">
        <f t="shared" si="15"/>
        <v>Fear, Forget Venom</v>
      </c>
      <c r="AN25" s="90" t="s">
        <v>703</v>
      </c>
      <c r="AO25" s="90" t="s">
        <v>703</v>
      </c>
      <c r="AP25" s="90" t="s">
        <v>703</v>
      </c>
      <c r="AQ25" s="90" t="s">
        <v>703</v>
      </c>
      <c r="AR25" s="90" t="s">
        <v>703</v>
      </c>
      <c r="AS25" s="90" t="s">
        <v>703</v>
      </c>
      <c r="AT25" s="90" t="s">
        <v>703</v>
      </c>
      <c r="AU25" s="90" t="s">
        <v>703</v>
      </c>
      <c r="AV25" s="90" t="s">
        <v>703</v>
      </c>
      <c r="AW25" s="90" t="s">
        <v>703</v>
      </c>
      <c r="AX25" s="90" t="s">
        <v>702</v>
      </c>
      <c r="BA25" t="s">
        <v>2162</v>
      </c>
      <c r="BB25">
        <v>7</v>
      </c>
      <c r="BC25">
        <v>3</v>
      </c>
      <c r="BD25">
        <v>3</v>
      </c>
      <c r="BE25">
        <v>3</v>
      </c>
      <c r="BF25">
        <v>4</v>
      </c>
      <c r="BG25">
        <v>4</v>
      </c>
      <c r="BH25">
        <v>30</v>
      </c>
      <c r="BI25">
        <v>1</v>
      </c>
      <c r="BJ25" t="s">
        <v>2112</v>
      </c>
    </row>
    <row r="26" spans="1:62">
      <c r="A26" t="s">
        <v>1082</v>
      </c>
      <c r="E26" s="90">
        <f t="shared" si="0"/>
        <v>4</v>
      </c>
      <c r="F26" s="90">
        <f t="shared" si="1"/>
        <v>-2</v>
      </c>
      <c r="G26" s="90">
        <f t="shared" si="2"/>
        <v>-2</v>
      </c>
      <c r="H26" s="90">
        <f t="shared" si="3"/>
        <v>4</v>
      </c>
      <c r="I26" s="90">
        <f t="shared" si="4"/>
        <v>-2</v>
      </c>
      <c r="J26" s="90">
        <f t="shared" si="5"/>
        <v>-2</v>
      </c>
      <c r="K26" s="242">
        <f t="shared" si="6"/>
        <v>-2</v>
      </c>
      <c r="L26" s="90">
        <f t="shared" si="7"/>
        <v>-2</v>
      </c>
      <c r="M26" s="90">
        <f t="shared" si="8"/>
        <v>-7</v>
      </c>
      <c r="N26" s="90">
        <v>0</v>
      </c>
      <c r="O26" s="90" t="s">
        <v>702</v>
      </c>
      <c r="P26" s="90">
        <f t="shared" si="9"/>
        <v>0</v>
      </c>
      <c r="Q26" s="90">
        <f t="shared" si="10"/>
        <v>0</v>
      </c>
      <c r="R26" s="90">
        <f t="shared" si="11"/>
        <v>0</v>
      </c>
      <c r="S26" s="90">
        <f t="shared" si="12"/>
        <v>0</v>
      </c>
      <c r="T26" s="90">
        <f t="shared" si="13"/>
        <v>0</v>
      </c>
      <c r="U26" s="90">
        <f t="shared" si="14"/>
        <v>0</v>
      </c>
      <c r="V26" s="90"/>
      <c r="W26" s="90" t="s">
        <v>703</v>
      </c>
      <c r="X26" s="90" t="s">
        <v>703</v>
      </c>
      <c r="Y26" s="90" t="s">
        <v>703</v>
      </c>
      <c r="Z26" s="90" t="s">
        <v>703</v>
      </c>
      <c r="AA26" s="90" t="s">
        <v>703</v>
      </c>
      <c r="AB26" s="90" t="s">
        <v>703</v>
      </c>
      <c r="AC26" s="90" t="s">
        <v>703</v>
      </c>
      <c r="AD26" s="90" t="s">
        <v>703</v>
      </c>
      <c r="AE26" s="90" t="s">
        <v>703</v>
      </c>
      <c r="AF26" s="90" t="s">
        <v>703</v>
      </c>
      <c r="AG26" s="90" t="s">
        <v>703</v>
      </c>
      <c r="AH26" s="90" t="s">
        <v>703</v>
      </c>
      <c r="AI26" s="90" t="s">
        <v>703</v>
      </c>
      <c r="AJ26" s="90" t="s">
        <v>703</v>
      </c>
      <c r="AK26" s="90" t="s">
        <v>703</v>
      </c>
      <c r="AL26" s="90" t="s">
        <v>703</v>
      </c>
      <c r="AM26" s="90">
        <f t="shared" si="15"/>
        <v>0</v>
      </c>
      <c r="AN26" s="90" t="s">
        <v>703</v>
      </c>
      <c r="AO26" s="90" t="s">
        <v>703</v>
      </c>
      <c r="AP26" s="90" t="s">
        <v>703</v>
      </c>
      <c r="AQ26" s="90" t="s">
        <v>703</v>
      </c>
      <c r="AR26" s="90" t="s">
        <v>703</v>
      </c>
      <c r="AS26" s="90" t="s">
        <v>703</v>
      </c>
      <c r="AT26" s="90" t="s">
        <v>703</v>
      </c>
      <c r="AU26" s="90" t="s">
        <v>703</v>
      </c>
      <c r="AV26" s="90" t="s">
        <v>703</v>
      </c>
      <c r="AW26" s="90" t="s">
        <v>703</v>
      </c>
      <c r="AX26" s="90" t="s">
        <v>702</v>
      </c>
      <c r="BA26" t="s">
        <v>1082</v>
      </c>
      <c r="BB26">
        <v>4</v>
      </c>
      <c r="BC26">
        <v>6</v>
      </c>
      <c r="BD26">
        <v>6</v>
      </c>
      <c r="BE26">
        <v>4</v>
      </c>
      <c r="BF26">
        <v>4</v>
      </c>
      <c r="BG26">
        <v>4</v>
      </c>
    </row>
    <row r="27" spans="1:62">
      <c r="A27" t="s">
        <v>1391</v>
      </c>
      <c r="E27" s="90">
        <f t="shared" ref="E27:E66" si="16">((BC27-1)*3)-11</f>
        <v>4</v>
      </c>
      <c r="F27" s="90">
        <f t="shared" si="1"/>
        <v>7</v>
      </c>
      <c r="G27" s="90">
        <f t="shared" si="2"/>
        <v>7</v>
      </c>
      <c r="H27" s="90">
        <f t="shared" si="3"/>
        <v>4</v>
      </c>
      <c r="I27" s="90">
        <f t="shared" si="4"/>
        <v>4</v>
      </c>
      <c r="J27" s="90">
        <f t="shared" si="5"/>
        <v>10</v>
      </c>
      <c r="K27" s="242">
        <f t="shared" si="6"/>
        <v>5</v>
      </c>
      <c r="L27" s="90">
        <f t="shared" si="7"/>
        <v>1</v>
      </c>
      <c r="M27" s="90">
        <f t="shared" si="8"/>
        <v>-5</v>
      </c>
      <c r="N27" s="90">
        <v>0</v>
      </c>
      <c r="O27" s="90" t="s">
        <v>702</v>
      </c>
      <c r="P27" s="90">
        <f t="shared" si="9"/>
        <v>6</v>
      </c>
      <c r="Q27" s="90">
        <f t="shared" si="10"/>
        <v>6</v>
      </c>
      <c r="R27" s="90">
        <f t="shared" si="11"/>
        <v>6</v>
      </c>
      <c r="S27" s="90">
        <f t="shared" si="12"/>
        <v>6</v>
      </c>
      <c r="T27" s="90">
        <f t="shared" si="13"/>
        <v>6</v>
      </c>
      <c r="U27" s="90">
        <f t="shared" si="14"/>
        <v>6</v>
      </c>
      <c r="V27" s="90"/>
      <c r="W27" s="90" t="s">
        <v>703</v>
      </c>
      <c r="X27" s="90" t="s">
        <v>703</v>
      </c>
      <c r="Y27" s="90" t="s">
        <v>703</v>
      </c>
      <c r="Z27" s="90" t="s">
        <v>703</v>
      </c>
      <c r="AA27" s="90" t="s">
        <v>703</v>
      </c>
      <c r="AB27" s="90" t="s">
        <v>703</v>
      </c>
      <c r="AC27" s="90" t="s">
        <v>703</v>
      </c>
      <c r="AD27" s="90" t="s">
        <v>703</v>
      </c>
      <c r="AE27" s="90" t="s">
        <v>703</v>
      </c>
      <c r="AF27" s="90" t="s">
        <v>703</v>
      </c>
      <c r="AG27" s="90" t="s">
        <v>703</v>
      </c>
      <c r="AH27" s="90" t="s">
        <v>703</v>
      </c>
      <c r="AI27" s="90" t="s">
        <v>703</v>
      </c>
      <c r="AJ27" s="90" t="s">
        <v>703</v>
      </c>
      <c r="AK27" s="90" t="s">
        <v>703</v>
      </c>
      <c r="AL27" s="90" t="s">
        <v>703</v>
      </c>
      <c r="AM27" s="90" t="str">
        <f t="shared" si="15"/>
        <v>Chilling touch/paralysis</v>
      </c>
      <c r="AN27" s="90" t="s">
        <v>703</v>
      </c>
      <c r="AO27" s="90" t="s">
        <v>703</v>
      </c>
      <c r="AP27" s="90" t="s">
        <v>703</v>
      </c>
      <c r="AQ27" s="90" t="s">
        <v>703</v>
      </c>
      <c r="AR27" s="90" t="s">
        <v>703</v>
      </c>
      <c r="AS27" s="90" t="s">
        <v>703</v>
      </c>
      <c r="AT27" s="90" t="s">
        <v>703</v>
      </c>
      <c r="AU27" s="90" t="s">
        <v>703</v>
      </c>
      <c r="AV27" s="90" t="s">
        <v>703</v>
      </c>
      <c r="AW27" s="90" t="s">
        <v>703</v>
      </c>
      <c r="AX27" s="90" t="s">
        <v>702</v>
      </c>
      <c r="BA27" t="s">
        <v>1391</v>
      </c>
      <c r="BB27">
        <v>7</v>
      </c>
      <c r="BC27">
        <v>6</v>
      </c>
      <c r="BD27">
        <v>6</v>
      </c>
      <c r="BE27">
        <v>6</v>
      </c>
      <c r="BF27">
        <v>8</v>
      </c>
      <c r="BG27">
        <v>5</v>
      </c>
      <c r="BH27">
        <v>38</v>
      </c>
      <c r="BI27">
        <v>6</v>
      </c>
      <c r="BJ27" t="s">
        <v>1566</v>
      </c>
    </row>
    <row r="28" spans="1:62">
      <c r="A28" t="s">
        <v>1362</v>
      </c>
      <c r="E28" s="90">
        <f t="shared" si="16"/>
        <v>25</v>
      </c>
      <c r="F28" s="90">
        <f t="shared" si="1"/>
        <v>4</v>
      </c>
      <c r="G28" s="90">
        <f t="shared" si="2"/>
        <v>4</v>
      </c>
      <c r="H28" s="90">
        <f t="shared" si="3"/>
        <v>22</v>
      </c>
      <c r="I28" s="90">
        <f t="shared" si="4"/>
        <v>10</v>
      </c>
      <c r="J28" s="90">
        <f t="shared" si="5"/>
        <v>22</v>
      </c>
      <c r="K28" s="242">
        <f t="shared" si="6"/>
        <v>14</v>
      </c>
      <c r="L28" s="90">
        <f t="shared" si="7"/>
        <v>10</v>
      </c>
      <c r="M28" s="90">
        <f t="shared" si="8"/>
        <v>-3</v>
      </c>
      <c r="N28" s="90">
        <v>0</v>
      </c>
      <c r="O28" s="90" t="s">
        <v>702</v>
      </c>
      <c r="P28" s="90">
        <f t="shared" si="9"/>
        <v>8</v>
      </c>
      <c r="Q28" s="90">
        <f t="shared" si="10"/>
        <v>8</v>
      </c>
      <c r="R28" s="90">
        <f t="shared" si="11"/>
        <v>8</v>
      </c>
      <c r="S28" s="90">
        <f t="shared" si="12"/>
        <v>8</v>
      </c>
      <c r="T28" s="90">
        <f t="shared" si="13"/>
        <v>8</v>
      </c>
      <c r="U28" s="90">
        <f t="shared" si="14"/>
        <v>8</v>
      </c>
      <c r="V28" s="90"/>
      <c r="W28" s="90" t="s">
        <v>703</v>
      </c>
      <c r="X28" s="90" t="s">
        <v>703</v>
      </c>
      <c r="Y28" s="90" t="s">
        <v>703</v>
      </c>
      <c r="Z28" s="90" t="s">
        <v>703</v>
      </c>
      <c r="AA28" s="90" t="s">
        <v>703</v>
      </c>
      <c r="AB28" s="90" t="s">
        <v>703</v>
      </c>
      <c r="AC28" s="90" t="s">
        <v>703</v>
      </c>
      <c r="AD28" s="90" t="s">
        <v>703</v>
      </c>
      <c r="AE28" s="90" t="s">
        <v>703</v>
      </c>
      <c r="AF28" s="90" t="s">
        <v>703</v>
      </c>
      <c r="AG28" s="90" t="s">
        <v>703</v>
      </c>
      <c r="AH28" s="90" t="s">
        <v>703</v>
      </c>
      <c r="AI28" s="90" t="s">
        <v>703</v>
      </c>
      <c r="AJ28" s="90" t="s">
        <v>703</v>
      </c>
      <c r="AK28" s="90" t="s">
        <v>703</v>
      </c>
      <c r="AL28" s="90" t="s">
        <v>703</v>
      </c>
      <c r="AM28" s="90">
        <f t="shared" si="15"/>
        <v>0</v>
      </c>
      <c r="AN28" s="90" t="s">
        <v>703</v>
      </c>
      <c r="AO28" s="90" t="s">
        <v>703</v>
      </c>
      <c r="AP28" s="90" t="s">
        <v>703</v>
      </c>
      <c r="AQ28" s="90" t="s">
        <v>703</v>
      </c>
      <c r="AR28" s="90" t="s">
        <v>703</v>
      </c>
      <c r="AS28" s="90" t="s">
        <v>703</v>
      </c>
      <c r="AT28" s="90" t="s">
        <v>703</v>
      </c>
      <c r="AU28" s="90" t="s">
        <v>703</v>
      </c>
      <c r="AV28" s="90" t="s">
        <v>703</v>
      </c>
      <c r="AW28" s="90" t="s">
        <v>703</v>
      </c>
      <c r="AX28" s="90" t="s">
        <v>702</v>
      </c>
      <c r="BA28" t="s">
        <v>1362</v>
      </c>
      <c r="BB28">
        <v>6</v>
      </c>
      <c r="BC28">
        <v>13</v>
      </c>
      <c r="BD28">
        <v>12</v>
      </c>
      <c r="BE28">
        <v>8</v>
      </c>
      <c r="BF28">
        <v>12</v>
      </c>
      <c r="BG28">
        <v>8</v>
      </c>
      <c r="BH28">
        <v>80</v>
      </c>
      <c r="BI28">
        <v>8</v>
      </c>
    </row>
    <row r="29" spans="1:62">
      <c r="A29" t="s">
        <v>1478</v>
      </c>
      <c r="E29" s="90">
        <f t="shared" si="16"/>
        <v>1</v>
      </c>
      <c r="F29" s="90">
        <f t="shared" si="1"/>
        <v>-2</v>
      </c>
      <c r="G29" s="90">
        <f t="shared" si="2"/>
        <v>-2</v>
      </c>
      <c r="H29" s="90">
        <f t="shared" si="3"/>
        <v>-5</v>
      </c>
      <c r="I29" s="90">
        <f t="shared" si="4"/>
        <v>-2</v>
      </c>
      <c r="J29" s="90">
        <f t="shared" si="5"/>
        <v>-5</v>
      </c>
      <c r="K29" s="242">
        <f t="shared" si="6"/>
        <v>-4</v>
      </c>
      <c r="L29" s="90">
        <f t="shared" si="7"/>
        <v>-5</v>
      </c>
      <c r="M29" s="90">
        <f t="shared" si="8"/>
        <v>-7</v>
      </c>
      <c r="N29" s="90">
        <v>0</v>
      </c>
      <c r="O29" s="90" t="s">
        <v>702</v>
      </c>
      <c r="P29" s="90">
        <f t="shared" si="9"/>
        <v>0</v>
      </c>
      <c r="Q29" s="90">
        <f t="shared" si="10"/>
        <v>0</v>
      </c>
      <c r="R29" s="90">
        <f t="shared" si="11"/>
        <v>0</v>
      </c>
      <c r="S29" s="90">
        <f t="shared" si="12"/>
        <v>0</v>
      </c>
      <c r="T29" s="90">
        <f t="shared" si="13"/>
        <v>0</v>
      </c>
      <c r="U29" s="90">
        <f t="shared" si="14"/>
        <v>0</v>
      </c>
      <c r="V29" s="90"/>
      <c r="W29" s="90" t="s">
        <v>703</v>
      </c>
      <c r="X29" s="90" t="s">
        <v>703</v>
      </c>
      <c r="Y29" s="90" t="s">
        <v>703</v>
      </c>
      <c r="Z29" s="90" t="s">
        <v>703</v>
      </c>
      <c r="AA29" s="90" t="s">
        <v>703</v>
      </c>
      <c r="AB29" s="90" t="s">
        <v>703</v>
      </c>
      <c r="AC29" s="90" t="s">
        <v>703</v>
      </c>
      <c r="AD29" s="90" t="s">
        <v>703</v>
      </c>
      <c r="AE29" s="90" t="s">
        <v>703</v>
      </c>
      <c r="AF29" s="90" t="s">
        <v>703</v>
      </c>
      <c r="AG29" s="90" t="s">
        <v>703</v>
      </c>
      <c r="AH29" s="90" t="s">
        <v>703</v>
      </c>
      <c r="AI29" s="90" t="s">
        <v>703</v>
      </c>
      <c r="AJ29" s="90" t="s">
        <v>703</v>
      </c>
      <c r="AK29" s="90" t="s">
        <v>703</v>
      </c>
      <c r="AL29" s="90" t="s">
        <v>703</v>
      </c>
      <c r="AM29" s="90">
        <f t="shared" si="15"/>
        <v>0</v>
      </c>
      <c r="AN29" s="90" t="s">
        <v>703</v>
      </c>
      <c r="AO29" s="90" t="s">
        <v>703</v>
      </c>
      <c r="AP29" s="90" t="s">
        <v>703</v>
      </c>
      <c r="AQ29" s="90" t="s">
        <v>703</v>
      </c>
      <c r="AR29" s="90" t="s">
        <v>703</v>
      </c>
      <c r="AS29" s="90" t="s">
        <v>703</v>
      </c>
      <c r="AT29" s="90" t="s">
        <v>703</v>
      </c>
      <c r="AU29" s="90" t="s">
        <v>703</v>
      </c>
      <c r="AV29" s="90" t="s">
        <v>703</v>
      </c>
      <c r="AW29" s="90" t="s">
        <v>703</v>
      </c>
      <c r="AX29" s="90" t="s">
        <v>702</v>
      </c>
      <c r="BA29" t="s">
        <v>1478</v>
      </c>
      <c r="BB29">
        <v>4</v>
      </c>
      <c r="BC29">
        <v>5</v>
      </c>
      <c r="BD29">
        <v>3</v>
      </c>
      <c r="BE29">
        <v>4</v>
      </c>
      <c r="BF29">
        <v>3</v>
      </c>
      <c r="BG29">
        <v>3</v>
      </c>
    </row>
    <row r="30" spans="1:62">
      <c r="A30" t="s">
        <v>2113</v>
      </c>
      <c r="E30" s="90">
        <f t="shared" si="16"/>
        <v>28</v>
      </c>
      <c r="F30" s="90">
        <f t="shared" si="1"/>
        <v>4</v>
      </c>
      <c r="G30" s="90">
        <f t="shared" si="2"/>
        <v>4</v>
      </c>
      <c r="H30" s="90">
        <f t="shared" si="3"/>
        <v>28</v>
      </c>
      <c r="I30" s="90">
        <f t="shared" si="4"/>
        <v>1</v>
      </c>
      <c r="J30" s="90">
        <f t="shared" si="5"/>
        <v>4</v>
      </c>
      <c r="K30" s="242">
        <f t="shared" si="6"/>
        <v>1</v>
      </c>
      <c r="L30" s="90">
        <f t="shared" si="7"/>
        <v>-2</v>
      </c>
      <c r="M30" s="90">
        <f t="shared" si="8"/>
        <v>-6</v>
      </c>
      <c r="N30" s="90">
        <v>0</v>
      </c>
      <c r="O30" s="90" t="s">
        <v>702</v>
      </c>
      <c r="P30" s="90">
        <f t="shared" si="9"/>
        <v>8</v>
      </c>
      <c r="Q30" s="90">
        <f t="shared" si="10"/>
        <v>8</v>
      </c>
      <c r="R30" s="90">
        <f t="shared" si="11"/>
        <v>8</v>
      </c>
      <c r="S30" s="90">
        <f t="shared" si="12"/>
        <v>8</v>
      </c>
      <c r="T30" s="90">
        <f t="shared" si="13"/>
        <v>8</v>
      </c>
      <c r="U30" s="90">
        <f t="shared" si="14"/>
        <v>8</v>
      </c>
      <c r="V30" s="90"/>
      <c r="W30" s="90" t="s">
        <v>703</v>
      </c>
      <c r="X30" s="90" t="s">
        <v>703</v>
      </c>
      <c r="Y30" s="90" t="s">
        <v>703</v>
      </c>
      <c r="Z30" s="90" t="s">
        <v>703</v>
      </c>
      <c r="AA30" s="90" t="s">
        <v>703</v>
      </c>
      <c r="AB30" s="90" t="s">
        <v>703</v>
      </c>
      <c r="AC30" s="90" t="s">
        <v>703</v>
      </c>
      <c r="AD30" s="90" t="s">
        <v>703</v>
      </c>
      <c r="AE30" s="90" t="s">
        <v>703</v>
      </c>
      <c r="AF30" s="90" t="s">
        <v>703</v>
      </c>
      <c r="AG30" s="90" t="s">
        <v>703</v>
      </c>
      <c r="AH30" s="90" t="s">
        <v>703</v>
      </c>
      <c r="AI30" s="90" t="s">
        <v>703</v>
      </c>
      <c r="AJ30" s="90" t="s">
        <v>703</v>
      </c>
      <c r="AK30" s="90" t="s">
        <v>703</v>
      </c>
      <c r="AL30" s="90" t="s">
        <v>703</v>
      </c>
      <c r="AM30" s="90">
        <f t="shared" si="15"/>
        <v>0</v>
      </c>
      <c r="AN30" s="90" t="s">
        <v>703</v>
      </c>
      <c r="AO30" s="90" t="s">
        <v>703</v>
      </c>
      <c r="AP30" s="90" t="s">
        <v>703</v>
      </c>
      <c r="AQ30" s="90" t="s">
        <v>703</v>
      </c>
      <c r="AR30" s="90" t="s">
        <v>703</v>
      </c>
      <c r="AS30" s="90" t="s">
        <v>703</v>
      </c>
      <c r="AT30" s="90" t="s">
        <v>703</v>
      </c>
      <c r="AU30" s="90" t="s">
        <v>703</v>
      </c>
      <c r="AV30" s="90" t="s">
        <v>703</v>
      </c>
      <c r="AW30" s="90" t="s">
        <v>703</v>
      </c>
      <c r="AX30" s="90" t="s">
        <v>702</v>
      </c>
      <c r="BA30" t="s">
        <v>2113</v>
      </c>
      <c r="BB30">
        <v>6</v>
      </c>
      <c r="BC30">
        <v>14</v>
      </c>
      <c r="BD30">
        <v>14</v>
      </c>
      <c r="BE30">
        <v>5</v>
      </c>
      <c r="BF30">
        <v>6</v>
      </c>
      <c r="BG30">
        <v>4</v>
      </c>
      <c r="BH30">
        <v>70</v>
      </c>
      <c r="BI30">
        <v>8</v>
      </c>
    </row>
    <row r="31" spans="1:62">
      <c r="A31" t="s">
        <v>1479</v>
      </c>
      <c r="E31" s="90">
        <f t="shared" si="16"/>
        <v>1</v>
      </c>
      <c r="F31" s="90">
        <f t="shared" si="1"/>
        <v>1</v>
      </c>
      <c r="G31" s="90">
        <f t="shared" si="2"/>
        <v>1</v>
      </c>
      <c r="H31" s="90">
        <f t="shared" si="3"/>
        <v>-2</v>
      </c>
      <c r="I31" s="90">
        <f t="shared" si="4"/>
        <v>4</v>
      </c>
      <c r="J31" s="90">
        <f t="shared" si="5"/>
        <v>-2</v>
      </c>
      <c r="K31" s="242">
        <f t="shared" si="6"/>
        <v>1</v>
      </c>
      <c r="L31" s="90">
        <f t="shared" si="7"/>
        <v>1</v>
      </c>
      <c r="M31" s="90">
        <f t="shared" si="8"/>
        <v>-5</v>
      </c>
      <c r="N31" s="90">
        <v>0</v>
      </c>
      <c r="O31" s="90" t="s">
        <v>702</v>
      </c>
      <c r="P31" s="90">
        <f t="shared" si="9"/>
        <v>0</v>
      </c>
      <c r="Q31" s="90">
        <f t="shared" si="10"/>
        <v>0</v>
      </c>
      <c r="R31" s="90">
        <f t="shared" si="11"/>
        <v>0</v>
      </c>
      <c r="S31" s="90">
        <f t="shared" si="12"/>
        <v>0</v>
      </c>
      <c r="T31" s="90">
        <f t="shared" si="13"/>
        <v>0</v>
      </c>
      <c r="U31" s="90">
        <f t="shared" si="14"/>
        <v>0</v>
      </c>
      <c r="V31" s="90"/>
      <c r="W31" s="90" t="s">
        <v>703</v>
      </c>
      <c r="X31" s="90" t="s">
        <v>703</v>
      </c>
      <c r="Y31" s="90" t="s">
        <v>703</v>
      </c>
      <c r="Z31" s="90" t="s">
        <v>703</v>
      </c>
      <c r="AA31" s="90" t="s">
        <v>703</v>
      </c>
      <c r="AB31" s="90" t="s">
        <v>703</v>
      </c>
      <c r="AC31" s="90" t="s">
        <v>703</v>
      </c>
      <c r="AD31" s="90" t="s">
        <v>703</v>
      </c>
      <c r="AE31" s="90" t="s">
        <v>703</v>
      </c>
      <c r="AF31" s="90" t="s">
        <v>703</v>
      </c>
      <c r="AG31" s="90" t="s">
        <v>703</v>
      </c>
      <c r="AH31" s="90" t="s">
        <v>703</v>
      </c>
      <c r="AI31" s="90" t="s">
        <v>703</v>
      </c>
      <c r="AJ31" s="90" t="s">
        <v>703</v>
      </c>
      <c r="AK31" s="90" t="s">
        <v>703</v>
      </c>
      <c r="AL31" s="90" t="s">
        <v>703</v>
      </c>
      <c r="AM31" s="90">
        <f t="shared" si="15"/>
        <v>0</v>
      </c>
      <c r="AN31" s="90" t="s">
        <v>703</v>
      </c>
      <c r="AO31" s="90" t="s">
        <v>703</v>
      </c>
      <c r="AP31" s="90" t="s">
        <v>703</v>
      </c>
      <c r="AQ31" s="90" t="s">
        <v>703</v>
      </c>
      <c r="AR31" s="90" t="s">
        <v>703</v>
      </c>
      <c r="AS31" s="90" t="s">
        <v>703</v>
      </c>
      <c r="AT31" s="90" t="s">
        <v>703</v>
      </c>
      <c r="AU31" s="90" t="s">
        <v>703</v>
      </c>
      <c r="AV31" s="90" t="s">
        <v>703</v>
      </c>
      <c r="AW31" s="90" t="s">
        <v>703</v>
      </c>
      <c r="AX31" s="90" t="s">
        <v>702</v>
      </c>
      <c r="BA31" t="s">
        <v>1479</v>
      </c>
      <c r="BB31">
        <v>5</v>
      </c>
      <c r="BC31">
        <v>5</v>
      </c>
      <c r="BD31">
        <v>4</v>
      </c>
      <c r="BE31">
        <v>6</v>
      </c>
      <c r="BF31">
        <v>4</v>
      </c>
      <c r="BG31">
        <v>5</v>
      </c>
    </row>
    <row r="32" spans="1:62">
      <c r="A32" t="s">
        <v>2114</v>
      </c>
      <c r="E32" s="90">
        <f t="shared" si="16"/>
        <v>-8</v>
      </c>
      <c r="F32" s="90">
        <f t="shared" si="1"/>
        <v>1</v>
      </c>
      <c r="G32" s="90">
        <f t="shared" si="2"/>
        <v>1</v>
      </c>
      <c r="H32" s="90">
        <f t="shared" si="3"/>
        <v>-8</v>
      </c>
      <c r="I32" s="90">
        <f t="shared" si="4"/>
        <v>-8</v>
      </c>
      <c r="J32" s="90">
        <f t="shared" si="5"/>
        <v>-5</v>
      </c>
      <c r="K32" s="242">
        <f t="shared" si="6"/>
        <v>-6</v>
      </c>
      <c r="L32" s="90">
        <f t="shared" si="7"/>
        <v>-5</v>
      </c>
      <c r="M32" s="90">
        <f t="shared" si="8"/>
        <v>-9</v>
      </c>
      <c r="N32" s="90">
        <v>0</v>
      </c>
      <c r="O32" s="90" t="s">
        <v>702</v>
      </c>
      <c r="P32" s="90">
        <f t="shared" si="9"/>
        <v>0</v>
      </c>
      <c r="Q32" s="90">
        <f t="shared" si="10"/>
        <v>0</v>
      </c>
      <c r="R32" s="90">
        <f t="shared" si="11"/>
        <v>0</v>
      </c>
      <c r="S32" s="90">
        <f t="shared" si="12"/>
        <v>0</v>
      </c>
      <c r="T32" s="90">
        <f t="shared" si="13"/>
        <v>0</v>
      </c>
      <c r="U32" s="90">
        <f t="shared" si="14"/>
        <v>0</v>
      </c>
      <c r="V32" s="90"/>
      <c r="W32" s="90" t="s">
        <v>703</v>
      </c>
      <c r="X32" s="90" t="s">
        <v>703</v>
      </c>
      <c r="Y32" s="90" t="s">
        <v>703</v>
      </c>
      <c r="Z32" s="90" t="s">
        <v>703</v>
      </c>
      <c r="AA32" s="90" t="s">
        <v>703</v>
      </c>
      <c r="AB32" s="90" t="s">
        <v>703</v>
      </c>
      <c r="AC32" s="90" t="s">
        <v>703</v>
      </c>
      <c r="AD32" s="90" t="s">
        <v>703</v>
      </c>
      <c r="AE32" s="90" t="s">
        <v>703</v>
      </c>
      <c r="AF32" s="90" t="s">
        <v>703</v>
      </c>
      <c r="AG32" s="90" t="s">
        <v>703</v>
      </c>
      <c r="AH32" s="90" t="s">
        <v>703</v>
      </c>
      <c r="AI32" s="90" t="s">
        <v>703</v>
      </c>
      <c r="AJ32" s="90" t="s">
        <v>703</v>
      </c>
      <c r="AK32" s="90" t="s">
        <v>703</v>
      </c>
      <c r="AL32" s="90" t="s">
        <v>703</v>
      </c>
      <c r="AM32" s="90" t="str">
        <f t="shared" si="15"/>
        <v>Burrow</v>
      </c>
      <c r="AN32" s="90" t="s">
        <v>703</v>
      </c>
      <c r="AO32" s="90" t="s">
        <v>703</v>
      </c>
      <c r="AP32" s="90" t="s">
        <v>703</v>
      </c>
      <c r="AQ32" s="90" t="s">
        <v>703</v>
      </c>
      <c r="AR32" s="90" t="s">
        <v>703</v>
      </c>
      <c r="AS32" s="90" t="s">
        <v>703</v>
      </c>
      <c r="AT32" s="90" t="s">
        <v>703</v>
      </c>
      <c r="AU32" s="90" t="s">
        <v>703</v>
      </c>
      <c r="AV32" s="90" t="s">
        <v>703</v>
      </c>
      <c r="AW32" s="90" t="s">
        <v>703</v>
      </c>
      <c r="AX32" s="90" t="s">
        <v>702</v>
      </c>
      <c r="BA32" t="s">
        <v>2114</v>
      </c>
      <c r="BB32">
        <v>5</v>
      </c>
      <c r="BC32">
        <v>2</v>
      </c>
      <c r="BD32">
        <v>2</v>
      </c>
      <c r="BE32">
        <v>2</v>
      </c>
      <c r="BF32">
        <v>3</v>
      </c>
      <c r="BG32">
        <v>3</v>
      </c>
      <c r="BH32">
        <v>15</v>
      </c>
      <c r="BI32">
        <v>0</v>
      </c>
      <c r="BJ32" t="s">
        <v>1720</v>
      </c>
    </row>
    <row r="33" spans="1:62">
      <c r="A33" t="s">
        <v>1166</v>
      </c>
      <c r="E33" s="90">
        <f t="shared" si="16"/>
        <v>19</v>
      </c>
      <c r="F33" s="90">
        <f t="shared" si="1"/>
        <v>-2</v>
      </c>
      <c r="G33" s="90">
        <f t="shared" si="2"/>
        <v>-2</v>
      </c>
      <c r="H33" s="90">
        <f t="shared" si="3"/>
        <v>13</v>
      </c>
      <c r="I33" s="90">
        <f t="shared" si="4"/>
        <v>-5</v>
      </c>
      <c r="J33" s="90">
        <f t="shared" si="5"/>
        <v>1</v>
      </c>
      <c r="K33" s="242">
        <f t="shared" si="6"/>
        <v>-2</v>
      </c>
      <c r="L33" s="90">
        <f t="shared" si="7"/>
        <v>-2</v>
      </c>
      <c r="M33" s="90">
        <f t="shared" si="8"/>
        <v>-8</v>
      </c>
      <c r="N33" s="90">
        <v>0</v>
      </c>
      <c r="O33" s="90" t="s">
        <v>702</v>
      </c>
      <c r="P33" s="90">
        <f t="shared" si="9"/>
        <v>0</v>
      </c>
      <c r="Q33" s="90">
        <f t="shared" si="10"/>
        <v>0</v>
      </c>
      <c r="R33" s="90">
        <f t="shared" si="11"/>
        <v>0</v>
      </c>
      <c r="S33" s="90">
        <f t="shared" si="12"/>
        <v>0</v>
      </c>
      <c r="T33" s="90">
        <f t="shared" si="13"/>
        <v>0</v>
      </c>
      <c r="U33" s="90">
        <f t="shared" si="14"/>
        <v>0</v>
      </c>
      <c r="V33" s="90"/>
      <c r="W33" s="90" t="s">
        <v>703</v>
      </c>
      <c r="X33" s="90" t="s">
        <v>703</v>
      </c>
      <c r="Y33" s="90" t="s">
        <v>703</v>
      </c>
      <c r="Z33" s="90" t="s">
        <v>703</v>
      </c>
      <c r="AA33" s="90" t="s">
        <v>703</v>
      </c>
      <c r="AB33" s="90" t="s">
        <v>703</v>
      </c>
      <c r="AC33" s="90" t="s">
        <v>703</v>
      </c>
      <c r="AD33" s="90" t="s">
        <v>703</v>
      </c>
      <c r="AE33" s="90" t="s">
        <v>703</v>
      </c>
      <c r="AF33" s="90" t="s">
        <v>703</v>
      </c>
      <c r="AG33" s="90" t="s">
        <v>703</v>
      </c>
      <c r="AH33" s="90" t="s">
        <v>703</v>
      </c>
      <c r="AI33" s="90" t="s">
        <v>703</v>
      </c>
      <c r="AJ33" s="90" t="s">
        <v>703</v>
      </c>
      <c r="AK33" s="90" t="s">
        <v>703</v>
      </c>
      <c r="AL33" s="90" t="s">
        <v>703</v>
      </c>
      <c r="AM33" s="90">
        <f t="shared" si="15"/>
        <v>0</v>
      </c>
      <c r="AN33" s="90" t="s">
        <v>703</v>
      </c>
      <c r="AO33" s="90" t="s">
        <v>703</v>
      </c>
      <c r="AP33" s="90" t="s">
        <v>703</v>
      </c>
      <c r="AQ33" s="90" t="s">
        <v>703</v>
      </c>
      <c r="AR33" s="90" t="s">
        <v>703</v>
      </c>
      <c r="AS33" s="90" t="s">
        <v>703</v>
      </c>
      <c r="AT33" s="90" t="s">
        <v>703</v>
      </c>
      <c r="AU33" s="90" t="s">
        <v>703</v>
      </c>
      <c r="AV33" s="90" t="s">
        <v>703</v>
      </c>
      <c r="AW33" s="90" t="s">
        <v>703</v>
      </c>
      <c r="AX33" s="90" t="s">
        <v>702</v>
      </c>
      <c r="BA33" t="s">
        <v>1166</v>
      </c>
      <c r="BB33">
        <v>4</v>
      </c>
      <c r="BC33">
        <v>11</v>
      </c>
      <c r="BD33">
        <v>9</v>
      </c>
      <c r="BE33">
        <v>3</v>
      </c>
      <c r="BF33">
        <v>5</v>
      </c>
      <c r="BG33">
        <v>4</v>
      </c>
    </row>
    <row r="34" spans="1:62">
      <c r="A34" t="s">
        <v>1572</v>
      </c>
      <c r="E34" s="90">
        <f t="shared" si="16"/>
        <v>4</v>
      </c>
      <c r="F34" s="90">
        <f t="shared" si="1"/>
        <v>13</v>
      </c>
      <c r="G34" s="90">
        <f t="shared" si="2"/>
        <v>13</v>
      </c>
      <c r="H34" s="90">
        <f t="shared" si="3"/>
        <v>10</v>
      </c>
      <c r="I34" s="90">
        <f t="shared" si="4"/>
        <v>4</v>
      </c>
      <c r="J34" s="90">
        <f t="shared" si="5"/>
        <v>16</v>
      </c>
      <c r="K34" s="242">
        <f t="shared" si="6"/>
        <v>6</v>
      </c>
      <c r="L34" s="90">
        <f t="shared" si="7"/>
        <v>-2</v>
      </c>
      <c r="M34" s="90">
        <f t="shared" si="8"/>
        <v>-5</v>
      </c>
      <c r="N34" s="90">
        <v>0</v>
      </c>
      <c r="O34" s="90" t="s">
        <v>702</v>
      </c>
      <c r="P34" s="90">
        <f t="shared" si="9"/>
        <v>5</v>
      </c>
      <c r="Q34" s="90">
        <f t="shared" si="10"/>
        <v>5</v>
      </c>
      <c r="R34" s="90">
        <f t="shared" si="11"/>
        <v>5</v>
      </c>
      <c r="S34" s="90">
        <f t="shared" si="12"/>
        <v>5</v>
      </c>
      <c r="T34" s="90">
        <f t="shared" si="13"/>
        <v>5</v>
      </c>
      <c r="U34" s="90">
        <f t="shared" si="14"/>
        <v>5</v>
      </c>
      <c r="V34" s="90"/>
      <c r="W34" s="90" t="s">
        <v>703</v>
      </c>
      <c r="X34" s="90" t="s">
        <v>703</v>
      </c>
      <c r="Y34" s="90" t="s">
        <v>703</v>
      </c>
      <c r="Z34" s="90" t="s">
        <v>703</v>
      </c>
      <c r="AA34" s="90" t="s">
        <v>703</v>
      </c>
      <c r="AB34" s="90" t="s">
        <v>703</v>
      </c>
      <c r="AC34" s="90" t="s">
        <v>703</v>
      </c>
      <c r="AD34" s="90" t="s">
        <v>703</v>
      </c>
      <c r="AE34" s="90" t="s">
        <v>703</v>
      </c>
      <c r="AF34" s="90" t="s">
        <v>703</v>
      </c>
      <c r="AG34" s="90" t="s">
        <v>703</v>
      </c>
      <c r="AH34" s="90" t="s">
        <v>703</v>
      </c>
      <c r="AI34" s="90" t="s">
        <v>703</v>
      </c>
      <c r="AJ34" s="90" t="s">
        <v>703</v>
      </c>
      <c r="AK34" s="90" t="s">
        <v>703</v>
      </c>
      <c r="AL34" s="90" t="s">
        <v>703</v>
      </c>
      <c r="AM34" s="90">
        <f t="shared" si="15"/>
        <v>0</v>
      </c>
      <c r="AN34" s="90" t="s">
        <v>703</v>
      </c>
      <c r="AO34" s="90" t="s">
        <v>703</v>
      </c>
      <c r="AP34" s="90" t="s">
        <v>703</v>
      </c>
      <c r="AQ34" s="90" t="s">
        <v>703</v>
      </c>
      <c r="AR34" s="90" t="s">
        <v>703</v>
      </c>
      <c r="AS34" s="90" t="s">
        <v>703</v>
      </c>
      <c r="AT34" s="90" t="s">
        <v>703</v>
      </c>
      <c r="AU34" s="90" t="s">
        <v>703</v>
      </c>
      <c r="AV34" s="90" t="s">
        <v>703</v>
      </c>
      <c r="AW34" s="90" t="s">
        <v>703</v>
      </c>
      <c r="AX34" s="90" t="s">
        <v>702</v>
      </c>
      <c r="BA34" t="s">
        <v>1572</v>
      </c>
      <c r="BB34">
        <v>9</v>
      </c>
      <c r="BC34">
        <v>6</v>
      </c>
      <c r="BD34">
        <v>8</v>
      </c>
      <c r="BE34">
        <v>6</v>
      </c>
      <c r="BF34">
        <v>10</v>
      </c>
      <c r="BG34">
        <v>4</v>
      </c>
      <c r="BH34">
        <v>55</v>
      </c>
      <c r="BI34">
        <v>5</v>
      </c>
    </row>
    <row r="35" spans="1:62">
      <c r="A35" t="s">
        <v>1721</v>
      </c>
      <c r="E35" s="90">
        <f t="shared" si="16"/>
        <v>7</v>
      </c>
      <c r="F35" s="90">
        <f t="shared" si="1"/>
        <v>7</v>
      </c>
      <c r="G35" s="90">
        <f t="shared" si="2"/>
        <v>7</v>
      </c>
      <c r="H35" s="90">
        <f t="shared" si="3"/>
        <v>1</v>
      </c>
      <c r="I35" s="90">
        <f t="shared" si="4"/>
        <v>1</v>
      </c>
      <c r="J35" s="90">
        <f t="shared" si="5"/>
        <v>10</v>
      </c>
      <c r="K35" s="242">
        <f t="shared" si="6"/>
        <v>3</v>
      </c>
      <c r="L35" s="90">
        <f t="shared" si="7"/>
        <v>-2</v>
      </c>
      <c r="M35" s="90">
        <f t="shared" si="8"/>
        <v>-6</v>
      </c>
      <c r="N35" s="90">
        <v>0</v>
      </c>
      <c r="O35" s="90" t="s">
        <v>702</v>
      </c>
      <c r="P35" s="90">
        <f t="shared" si="9"/>
        <v>3</v>
      </c>
      <c r="Q35" s="90">
        <f t="shared" si="10"/>
        <v>3</v>
      </c>
      <c r="R35" s="90">
        <f t="shared" si="11"/>
        <v>3</v>
      </c>
      <c r="S35" s="90">
        <f t="shared" si="12"/>
        <v>3</v>
      </c>
      <c r="T35" s="90">
        <f t="shared" si="13"/>
        <v>3</v>
      </c>
      <c r="U35" s="90">
        <f t="shared" si="14"/>
        <v>3</v>
      </c>
      <c r="V35" s="90"/>
      <c r="W35" s="90" t="s">
        <v>703</v>
      </c>
      <c r="X35" s="90" t="s">
        <v>703</v>
      </c>
      <c r="Y35" s="90" t="s">
        <v>703</v>
      </c>
      <c r="Z35" s="90" t="s">
        <v>703</v>
      </c>
      <c r="AA35" s="90" t="s">
        <v>703</v>
      </c>
      <c r="AB35" s="90" t="s">
        <v>703</v>
      </c>
      <c r="AC35" s="90" t="s">
        <v>703</v>
      </c>
      <c r="AD35" s="90" t="s">
        <v>703</v>
      </c>
      <c r="AE35" s="90" t="s">
        <v>703</v>
      </c>
      <c r="AF35" s="90" t="s">
        <v>703</v>
      </c>
      <c r="AG35" s="90" t="s">
        <v>703</v>
      </c>
      <c r="AH35" s="90" t="s">
        <v>703</v>
      </c>
      <c r="AI35" s="90" t="s">
        <v>703</v>
      </c>
      <c r="AJ35" s="90" t="s">
        <v>703</v>
      </c>
      <c r="AK35" s="90" t="s">
        <v>703</v>
      </c>
      <c r="AL35" s="90" t="s">
        <v>703</v>
      </c>
      <c r="AM35" s="90" t="str">
        <f t="shared" si="15"/>
        <v>Lightning</v>
      </c>
      <c r="AN35" s="90" t="s">
        <v>703</v>
      </c>
      <c r="AO35" s="90" t="s">
        <v>703</v>
      </c>
      <c r="AP35" s="90" t="s">
        <v>703</v>
      </c>
      <c r="AQ35" s="90" t="s">
        <v>703</v>
      </c>
      <c r="AR35" s="90" t="s">
        <v>703</v>
      </c>
      <c r="AS35" s="90" t="s">
        <v>703</v>
      </c>
      <c r="AT35" s="90" t="s">
        <v>703</v>
      </c>
      <c r="AU35" s="90" t="s">
        <v>703</v>
      </c>
      <c r="AV35" s="90" t="s">
        <v>703</v>
      </c>
      <c r="AW35" s="90" t="s">
        <v>703</v>
      </c>
      <c r="AX35" s="90" t="s">
        <v>702</v>
      </c>
      <c r="BA35" t="s">
        <v>1721</v>
      </c>
      <c r="BB35">
        <v>7</v>
      </c>
      <c r="BC35">
        <v>7</v>
      </c>
      <c r="BD35">
        <v>5</v>
      </c>
      <c r="BE35">
        <v>5</v>
      </c>
      <c r="BF35">
        <v>8</v>
      </c>
      <c r="BG35">
        <v>4</v>
      </c>
      <c r="BH35">
        <v>40</v>
      </c>
      <c r="BI35">
        <v>3</v>
      </c>
      <c r="BJ35" t="s">
        <v>1722</v>
      </c>
    </row>
    <row r="36" spans="1:62">
      <c r="A36" t="s">
        <v>1723</v>
      </c>
      <c r="E36" s="90">
        <f t="shared" si="16"/>
        <v>10</v>
      </c>
      <c r="F36" s="90">
        <f t="shared" si="1"/>
        <v>16</v>
      </c>
      <c r="G36" s="90">
        <f t="shared" si="2"/>
        <v>16</v>
      </c>
      <c r="H36" s="90">
        <f t="shared" si="3"/>
        <v>13</v>
      </c>
      <c r="I36" s="90">
        <f t="shared" si="4"/>
        <v>4</v>
      </c>
      <c r="J36" s="90">
        <f t="shared" si="5"/>
        <v>10</v>
      </c>
      <c r="K36" s="242">
        <f t="shared" si="6"/>
        <v>5</v>
      </c>
      <c r="L36" s="90">
        <f t="shared" si="7"/>
        <v>1</v>
      </c>
      <c r="M36" s="90">
        <f t="shared" si="8"/>
        <v>-5</v>
      </c>
      <c r="N36" s="90">
        <v>0</v>
      </c>
      <c r="O36" s="90" t="s">
        <v>702</v>
      </c>
      <c r="P36" s="90">
        <f t="shared" si="9"/>
        <v>4</v>
      </c>
      <c r="Q36" s="90">
        <f t="shared" si="10"/>
        <v>4</v>
      </c>
      <c r="R36" s="90">
        <f t="shared" si="11"/>
        <v>4</v>
      </c>
      <c r="S36" s="90">
        <f t="shared" si="12"/>
        <v>4</v>
      </c>
      <c r="T36" s="90">
        <f t="shared" si="13"/>
        <v>4</v>
      </c>
      <c r="U36" s="90">
        <f t="shared" si="14"/>
        <v>4</v>
      </c>
      <c r="V36" s="90"/>
      <c r="W36" s="90" t="s">
        <v>703</v>
      </c>
      <c r="X36" s="90" t="s">
        <v>703</v>
      </c>
      <c r="Y36" s="90" t="s">
        <v>703</v>
      </c>
      <c r="Z36" s="90" t="s">
        <v>703</v>
      </c>
      <c r="AA36" s="90" t="s">
        <v>703</v>
      </c>
      <c r="AB36" s="90" t="s">
        <v>703</v>
      </c>
      <c r="AC36" s="90" t="s">
        <v>703</v>
      </c>
      <c r="AD36" s="90" t="s">
        <v>703</v>
      </c>
      <c r="AE36" s="90" t="s">
        <v>703</v>
      </c>
      <c r="AF36" s="90" t="s">
        <v>703</v>
      </c>
      <c r="AG36" s="90" t="s">
        <v>703</v>
      </c>
      <c r="AH36" s="90" t="s">
        <v>703</v>
      </c>
      <c r="AI36" s="90" t="s">
        <v>703</v>
      </c>
      <c r="AJ36" s="90" t="s">
        <v>703</v>
      </c>
      <c r="AK36" s="90" t="s">
        <v>703</v>
      </c>
      <c r="AL36" s="90" t="s">
        <v>703</v>
      </c>
      <c r="AM36" s="90" t="str">
        <f t="shared" si="15"/>
        <v>Light, Strobe Light</v>
      </c>
      <c r="AN36" s="90" t="s">
        <v>703</v>
      </c>
      <c r="AO36" s="90" t="s">
        <v>703</v>
      </c>
      <c r="AP36" s="90" t="s">
        <v>703</v>
      </c>
      <c r="AQ36" s="90" t="s">
        <v>703</v>
      </c>
      <c r="AR36" s="90" t="s">
        <v>703</v>
      </c>
      <c r="AS36" s="90" t="s">
        <v>703</v>
      </c>
      <c r="AT36" s="90" t="s">
        <v>703</v>
      </c>
      <c r="AU36" s="90" t="s">
        <v>703</v>
      </c>
      <c r="AV36" s="90" t="s">
        <v>703</v>
      </c>
      <c r="AW36" s="90" t="s">
        <v>703</v>
      </c>
      <c r="AX36" s="90" t="s">
        <v>702</v>
      </c>
      <c r="BA36" t="s">
        <v>1723</v>
      </c>
      <c r="BB36">
        <v>10</v>
      </c>
      <c r="BC36">
        <v>8</v>
      </c>
      <c r="BD36">
        <v>9</v>
      </c>
      <c r="BE36">
        <v>6</v>
      </c>
      <c r="BF36">
        <v>8</v>
      </c>
      <c r="BG36">
        <v>5</v>
      </c>
      <c r="BH36">
        <v>55</v>
      </c>
      <c r="BI36">
        <v>4</v>
      </c>
      <c r="BJ36" t="s">
        <v>1319</v>
      </c>
    </row>
    <row r="37" spans="1:62">
      <c r="A37" t="s">
        <v>1646</v>
      </c>
      <c r="E37" s="90">
        <f t="shared" si="16"/>
        <v>-2</v>
      </c>
      <c r="F37" s="90">
        <f t="shared" si="1"/>
        <v>7</v>
      </c>
      <c r="G37" s="90">
        <f t="shared" si="2"/>
        <v>7</v>
      </c>
      <c r="H37" s="90">
        <f t="shared" si="3"/>
        <v>1</v>
      </c>
      <c r="I37" s="90">
        <f t="shared" si="4"/>
        <v>-2</v>
      </c>
      <c r="J37" s="90">
        <f t="shared" si="5"/>
        <v>1</v>
      </c>
      <c r="K37" s="242">
        <f t="shared" si="6"/>
        <v>1</v>
      </c>
      <c r="L37" s="90">
        <f t="shared" si="7"/>
        <v>4</v>
      </c>
      <c r="M37" s="90">
        <f t="shared" si="8"/>
        <v>-7</v>
      </c>
      <c r="N37" s="90">
        <v>0</v>
      </c>
      <c r="O37" s="90" t="s">
        <v>702</v>
      </c>
      <c r="P37" s="90">
        <f t="shared" si="9"/>
        <v>2</v>
      </c>
      <c r="Q37" s="90">
        <f t="shared" si="10"/>
        <v>2</v>
      </c>
      <c r="R37" s="90">
        <f t="shared" si="11"/>
        <v>2</v>
      </c>
      <c r="S37" s="90">
        <f t="shared" si="12"/>
        <v>2</v>
      </c>
      <c r="T37" s="90">
        <f t="shared" si="13"/>
        <v>2</v>
      </c>
      <c r="U37" s="90">
        <f t="shared" si="14"/>
        <v>2</v>
      </c>
      <c r="V37" s="90"/>
      <c r="W37" s="90" t="s">
        <v>703</v>
      </c>
      <c r="X37" s="90" t="s">
        <v>703</v>
      </c>
      <c r="Y37" s="90" t="s">
        <v>703</v>
      </c>
      <c r="Z37" s="90" t="s">
        <v>703</v>
      </c>
      <c r="AA37" s="90" t="s">
        <v>703</v>
      </c>
      <c r="AB37" s="90" t="s">
        <v>703</v>
      </c>
      <c r="AC37" s="90" t="s">
        <v>703</v>
      </c>
      <c r="AD37" s="90" t="s">
        <v>703</v>
      </c>
      <c r="AE37" s="90" t="s">
        <v>703</v>
      </c>
      <c r="AF37" s="90" t="s">
        <v>703</v>
      </c>
      <c r="AG37" s="90" t="s">
        <v>703</v>
      </c>
      <c r="AH37" s="90" t="s">
        <v>703</v>
      </c>
      <c r="AI37" s="90" t="s">
        <v>703</v>
      </c>
      <c r="AJ37" s="90" t="s">
        <v>703</v>
      </c>
      <c r="AK37" s="90" t="s">
        <v>703</v>
      </c>
      <c r="AL37" s="90" t="s">
        <v>703</v>
      </c>
      <c r="AM37" s="90" t="str">
        <f t="shared" si="15"/>
        <v>Heat Attack, Immune to fire</v>
      </c>
      <c r="AN37" s="90" t="s">
        <v>703</v>
      </c>
      <c r="AO37" s="90" t="s">
        <v>703</v>
      </c>
      <c r="AP37" s="90" t="s">
        <v>703</v>
      </c>
      <c r="AQ37" s="90" t="s">
        <v>703</v>
      </c>
      <c r="AR37" s="90" t="s">
        <v>703</v>
      </c>
      <c r="AS37" s="90" t="s">
        <v>703</v>
      </c>
      <c r="AT37" s="90" t="s">
        <v>703</v>
      </c>
      <c r="AU37" s="90" t="s">
        <v>703</v>
      </c>
      <c r="AV37" s="90" t="s">
        <v>703</v>
      </c>
      <c r="AW37" s="90" t="s">
        <v>703</v>
      </c>
      <c r="AX37" s="90" t="s">
        <v>702</v>
      </c>
      <c r="BA37" t="s">
        <v>1646</v>
      </c>
      <c r="BB37">
        <v>7</v>
      </c>
      <c r="BC37">
        <v>4</v>
      </c>
      <c r="BD37">
        <v>5</v>
      </c>
      <c r="BE37">
        <v>4</v>
      </c>
      <c r="BF37">
        <v>5</v>
      </c>
      <c r="BG37">
        <v>6</v>
      </c>
      <c r="BH37">
        <v>30</v>
      </c>
      <c r="BI37">
        <v>2</v>
      </c>
      <c r="BJ37" t="s">
        <v>1320</v>
      </c>
    </row>
    <row r="38" spans="1:62">
      <c r="A38" t="s">
        <v>1528</v>
      </c>
      <c r="E38" s="90">
        <f t="shared" si="16"/>
        <v>40</v>
      </c>
      <c r="F38" s="90">
        <f t="shared" si="1"/>
        <v>10</v>
      </c>
      <c r="G38" s="90">
        <f t="shared" si="2"/>
        <v>10</v>
      </c>
      <c r="H38" s="90">
        <f t="shared" si="3"/>
        <v>22</v>
      </c>
      <c r="I38" s="90">
        <f t="shared" si="4"/>
        <v>-2</v>
      </c>
      <c r="J38" s="90">
        <f t="shared" si="5"/>
        <v>1</v>
      </c>
      <c r="K38" s="242">
        <f t="shared" si="6"/>
        <v>-1</v>
      </c>
      <c r="L38" s="90">
        <f t="shared" si="7"/>
        <v>-2</v>
      </c>
      <c r="M38" s="90">
        <f t="shared" si="8"/>
        <v>-7</v>
      </c>
      <c r="N38" s="90">
        <v>0</v>
      </c>
      <c r="O38" s="90" t="s">
        <v>702</v>
      </c>
      <c r="P38" s="90">
        <f t="shared" si="9"/>
        <v>13</v>
      </c>
      <c r="Q38" s="90">
        <f t="shared" si="10"/>
        <v>13</v>
      </c>
      <c r="R38" s="90">
        <f t="shared" si="11"/>
        <v>13</v>
      </c>
      <c r="S38" s="90">
        <f t="shared" si="12"/>
        <v>13</v>
      </c>
      <c r="T38" s="90">
        <f t="shared" si="13"/>
        <v>13</v>
      </c>
      <c r="U38" s="90">
        <f t="shared" si="14"/>
        <v>13</v>
      </c>
      <c r="V38" s="90"/>
      <c r="W38" s="90" t="s">
        <v>703</v>
      </c>
      <c r="X38" s="90" t="s">
        <v>703</v>
      </c>
      <c r="Y38" s="90" t="s">
        <v>703</v>
      </c>
      <c r="Z38" s="90" t="s">
        <v>703</v>
      </c>
      <c r="AA38" s="90" t="s">
        <v>703</v>
      </c>
      <c r="AB38" s="90" t="s">
        <v>703</v>
      </c>
      <c r="AC38" s="90" t="s">
        <v>703</v>
      </c>
      <c r="AD38" s="90" t="s">
        <v>703</v>
      </c>
      <c r="AE38" s="90" t="s">
        <v>703</v>
      </c>
      <c r="AF38" s="90" t="s">
        <v>703</v>
      </c>
      <c r="AG38" s="90" t="s">
        <v>703</v>
      </c>
      <c r="AH38" s="90" t="s">
        <v>703</v>
      </c>
      <c r="AI38" s="90" t="s">
        <v>703</v>
      </c>
      <c r="AJ38" s="90" t="s">
        <v>703</v>
      </c>
      <c r="AK38" s="90" t="s">
        <v>703</v>
      </c>
      <c r="AL38" s="90" t="s">
        <v>703</v>
      </c>
      <c r="AM38" s="90">
        <f t="shared" si="15"/>
        <v>0</v>
      </c>
      <c r="AN38" s="90" t="s">
        <v>703</v>
      </c>
      <c r="AO38" s="90" t="s">
        <v>703</v>
      </c>
      <c r="AP38" s="90" t="s">
        <v>703</v>
      </c>
      <c r="AQ38" s="90" t="s">
        <v>703</v>
      </c>
      <c r="AR38" s="90" t="s">
        <v>703</v>
      </c>
      <c r="AS38" s="90" t="s">
        <v>703</v>
      </c>
      <c r="AT38" s="90" t="s">
        <v>703</v>
      </c>
      <c r="AU38" s="90" t="s">
        <v>703</v>
      </c>
      <c r="AV38" s="90" t="s">
        <v>703</v>
      </c>
      <c r="AW38" s="90" t="s">
        <v>703</v>
      </c>
      <c r="AX38" s="90" t="s">
        <v>702</v>
      </c>
      <c r="BA38" t="s">
        <v>1528</v>
      </c>
      <c r="BB38">
        <v>8</v>
      </c>
      <c r="BC38">
        <v>18</v>
      </c>
      <c r="BD38">
        <v>12</v>
      </c>
      <c r="BE38">
        <v>4</v>
      </c>
      <c r="BF38">
        <v>5</v>
      </c>
      <c r="BG38">
        <v>4</v>
      </c>
      <c r="BH38">
        <v>55</v>
      </c>
      <c r="BI38">
        <v>13</v>
      </c>
    </row>
    <row r="39" spans="1:62">
      <c r="A39" t="s">
        <v>1321</v>
      </c>
      <c r="E39" s="90">
        <f t="shared" si="16"/>
        <v>16</v>
      </c>
      <c r="F39" s="90">
        <f t="shared" si="1"/>
        <v>7</v>
      </c>
      <c r="G39" s="90">
        <f t="shared" si="2"/>
        <v>7</v>
      </c>
      <c r="H39" s="90">
        <f t="shared" si="3"/>
        <v>7</v>
      </c>
      <c r="I39" s="90">
        <f t="shared" si="4"/>
        <v>-2</v>
      </c>
      <c r="J39" s="90">
        <f t="shared" si="5"/>
        <v>4</v>
      </c>
      <c r="K39" s="242">
        <f t="shared" si="6"/>
        <v>0</v>
      </c>
      <c r="L39" s="90">
        <f t="shared" si="7"/>
        <v>-2</v>
      </c>
      <c r="M39" s="90">
        <f t="shared" si="8"/>
        <v>-7</v>
      </c>
      <c r="N39" s="90">
        <v>0</v>
      </c>
      <c r="O39" s="90" t="s">
        <v>702</v>
      </c>
      <c r="P39" s="90">
        <f t="shared" si="9"/>
        <v>4</v>
      </c>
      <c r="Q39" s="90">
        <f t="shared" si="10"/>
        <v>4</v>
      </c>
      <c r="R39" s="90">
        <f t="shared" si="11"/>
        <v>4</v>
      </c>
      <c r="S39" s="90">
        <f t="shared" si="12"/>
        <v>4</v>
      </c>
      <c r="T39" s="90">
        <f t="shared" si="13"/>
        <v>4</v>
      </c>
      <c r="U39" s="90">
        <f t="shared" si="14"/>
        <v>4</v>
      </c>
      <c r="V39" s="90"/>
      <c r="W39" s="90" t="s">
        <v>703</v>
      </c>
      <c r="X39" s="90" t="s">
        <v>703</v>
      </c>
      <c r="Y39" s="90" t="s">
        <v>703</v>
      </c>
      <c r="Z39" s="90" t="s">
        <v>703</v>
      </c>
      <c r="AA39" s="90" t="s">
        <v>703</v>
      </c>
      <c r="AB39" s="90" t="s">
        <v>703</v>
      </c>
      <c r="AC39" s="90" t="s">
        <v>703</v>
      </c>
      <c r="AD39" s="90" t="s">
        <v>703</v>
      </c>
      <c r="AE39" s="90" t="s">
        <v>703</v>
      </c>
      <c r="AF39" s="90" t="s">
        <v>703</v>
      </c>
      <c r="AG39" s="90" t="s">
        <v>703</v>
      </c>
      <c r="AH39" s="90" t="s">
        <v>703</v>
      </c>
      <c r="AI39" s="90" t="s">
        <v>703</v>
      </c>
      <c r="AJ39" s="90" t="s">
        <v>703</v>
      </c>
      <c r="AK39" s="90" t="s">
        <v>703</v>
      </c>
      <c r="AL39" s="90" t="s">
        <v>703</v>
      </c>
      <c r="AM39" s="90" t="str">
        <f t="shared" si="15"/>
        <v>Magic Drain</v>
      </c>
      <c r="AN39" s="90" t="s">
        <v>703</v>
      </c>
      <c r="AO39" s="90" t="s">
        <v>703</v>
      </c>
      <c r="AP39" s="90" t="s">
        <v>703</v>
      </c>
      <c r="AQ39" s="90" t="s">
        <v>703</v>
      </c>
      <c r="AR39" s="90" t="s">
        <v>703</v>
      </c>
      <c r="AS39" s="90" t="s">
        <v>703</v>
      </c>
      <c r="AT39" s="90" t="s">
        <v>703</v>
      </c>
      <c r="AU39" s="90" t="s">
        <v>703</v>
      </c>
      <c r="AV39" s="90" t="s">
        <v>703</v>
      </c>
      <c r="AW39" s="90" t="s">
        <v>703</v>
      </c>
      <c r="AX39" s="90" t="s">
        <v>702</v>
      </c>
      <c r="BA39" t="s">
        <v>1321</v>
      </c>
      <c r="BB39">
        <v>7</v>
      </c>
      <c r="BC39">
        <v>10</v>
      </c>
      <c r="BD39">
        <v>7</v>
      </c>
      <c r="BE39">
        <v>4</v>
      </c>
      <c r="BF39">
        <v>6</v>
      </c>
      <c r="BG39">
        <v>4</v>
      </c>
      <c r="BH39">
        <v>45</v>
      </c>
      <c r="BI39">
        <v>4</v>
      </c>
      <c r="BJ39" t="s">
        <v>1322</v>
      </c>
    </row>
    <row r="40" spans="1:62">
      <c r="A40" t="s">
        <v>1616</v>
      </c>
      <c r="E40" s="90">
        <f t="shared" si="16"/>
        <v>13</v>
      </c>
      <c r="F40" s="90">
        <f t="shared" si="1"/>
        <v>1</v>
      </c>
      <c r="G40" s="90">
        <f t="shared" si="2"/>
        <v>1</v>
      </c>
      <c r="H40" s="90">
        <f t="shared" si="3"/>
        <v>13</v>
      </c>
      <c r="I40" s="90">
        <f t="shared" si="4"/>
        <v>-5</v>
      </c>
      <c r="J40" s="90">
        <f t="shared" si="5"/>
        <v>4</v>
      </c>
      <c r="K40" s="242">
        <f t="shared" si="6"/>
        <v>-1</v>
      </c>
      <c r="L40" s="90">
        <f t="shared" si="7"/>
        <v>-2</v>
      </c>
      <c r="M40" s="90">
        <f t="shared" si="8"/>
        <v>-8</v>
      </c>
      <c r="N40" s="90">
        <v>0</v>
      </c>
      <c r="O40" s="90" t="s">
        <v>702</v>
      </c>
      <c r="P40" s="90">
        <f t="shared" si="9"/>
        <v>4</v>
      </c>
      <c r="Q40" s="90">
        <f t="shared" si="10"/>
        <v>4</v>
      </c>
      <c r="R40" s="90">
        <f t="shared" si="11"/>
        <v>4</v>
      </c>
      <c r="S40" s="90">
        <f t="shared" si="12"/>
        <v>4</v>
      </c>
      <c r="T40" s="90">
        <f t="shared" si="13"/>
        <v>4</v>
      </c>
      <c r="U40" s="90">
        <f t="shared" si="14"/>
        <v>4</v>
      </c>
      <c r="V40" s="90"/>
      <c r="W40" s="90" t="s">
        <v>703</v>
      </c>
      <c r="X40" s="90" t="s">
        <v>703</v>
      </c>
      <c r="Y40" s="90" t="s">
        <v>703</v>
      </c>
      <c r="Z40" s="90" t="s">
        <v>703</v>
      </c>
      <c r="AA40" s="90" t="s">
        <v>703</v>
      </c>
      <c r="AB40" s="90" t="s">
        <v>703</v>
      </c>
      <c r="AC40" s="90" t="s">
        <v>703</v>
      </c>
      <c r="AD40" s="90" t="s">
        <v>703</v>
      </c>
      <c r="AE40" s="90" t="s">
        <v>703</v>
      </c>
      <c r="AF40" s="90" t="s">
        <v>703</v>
      </c>
      <c r="AG40" s="90" t="s">
        <v>703</v>
      </c>
      <c r="AH40" s="90" t="s">
        <v>703</v>
      </c>
      <c r="AI40" s="90" t="s">
        <v>703</v>
      </c>
      <c r="AJ40" s="90" t="s">
        <v>703</v>
      </c>
      <c r="AK40" s="90" t="s">
        <v>703</v>
      </c>
      <c r="AL40" s="90" t="s">
        <v>703</v>
      </c>
      <c r="AM40" s="90">
        <f t="shared" si="15"/>
        <v>0</v>
      </c>
      <c r="AN40" s="90" t="s">
        <v>703</v>
      </c>
      <c r="AO40" s="90" t="s">
        <v>703</v>
      </c>
      <c r="AP40" s="90" t="s">
        <v>703</v>
      </c>
      <c r="AQ40" s="90" t="s">
        <v>703</v>
      </c>
      <c r="AR40" s="90" t="s">
        <v>703</v>
      </c>
      <c r="AS40" s="90" t="s">
        <v>703</v>
      </c>
      <c r="AT40" s="90" t="s">
        <v>703</v>
      </c>
      <c r="AU40" s="90" t="s">
        <v>703</v>
      </c>
      <c r="AV40" s="90" t="s">
        <v>703</v>
      </c>
      <c r="AW40" s="90" t="s">
        <v>703</v>
      </c>
      <c r="AX40" s="90" t="s">
        <v>702</v>
      </c>
      <c r="BA40" t="s">
        <v>1616</v>
      </c>
      <c r="BB40">
        <v>5</v>
      </c>
      <c r="BC40">
        <v>9</v>
      </c>
      <c r="BD40">
        <v>9</v>
      </c>
      <c r="BE40">
        <v>3</v>
      </c>
      <c r="BF40">
        <v>6</v>
      </c>
      <c r="BG40">
        <v>4</v>
      </c>
      <c r="BH40">
        <v>60</v>
      </c>
      <c r="BI40">
        <v>4</v>
      </c>
    </row>
    <row r="41" spans="1:62">
      <c r="A41" t="s">
        <v>2260</v>
      </c>
      <c r="E41" s="90">
        <f t="shared" si="16"/>
        <v>-2</v>
      </c>
      <c r="F41" s="90">
        <f t="shared" si="1"/>
        <v>13</v>
      </c>
      <c r="G41" s="90">
        <f t="shared" si="2"/>
        <v>13</v>
      </c>
      <c r="H41" s="90">
        <f t="shared" si="3"/>
        <v>-5</v>
      </c>
      <c r="I41" s="90">
        <f t="shared" si="4"/>
        <v>-5</v>
      </c>
      <c r="J41" s="90">
        <f t="shared" si="5"/>
        <v>7</v>
      </c>
      <c r="K41" s="242">
        <f t="shared" si="6"/>
        <v>0</v>
      </c>
      <c r="L41" s="90">
        <f t="shared" si="7"/>
        <v>-2</v>
      </c>
      <c r="M41" s="90">
        <f t="shared" si="8"/>
        <v>-8</v>
      </c>
      <c r="N41" s="90">
        <v>0</v>
      </c>
      <c r="O41" s="90" t="s">
        <v>702</v>
      </c>
      <c r="P41" s="90">
        <f t="shared" si="9"/>
        <v>4</v>
      </c>
      <c r="Q41" s="90">
        <f t="shared" si="10"/>
        <v>4</v>
      </c>
      <c r="R41" s="90">
        <f t="shared" si="11"/>
        <v>4</v>
      </c>
      <c r="S41" s="90">
        <f t="shared" si="12"/>
        <v>4</v>
      </c>
      <c r="T41" s="90">
        <f t="shared" si="13"/>
        <v>4</v>
      </c>
      <c r="U41" s="90">
        <f t="shared" si="14"/>
        <v>4</v>
      </c>
      <c r="V41" s="90"/>
      <c r="W41" s="90" t="s">
        <v>703</v>
      </c>
      <c r="X41" s="90" t="s">
        <v>703</v>
      </c>
      <c r="Y41" s="90" t="s">
        <v>703</v>
      </c>
      <c r="Z41" s="90" t="s">
        <v>703</v>
      </c>
      <c r="AA41" s="90" t="s">
        <v>703</v>
      </c>
      <c r="AB41" s="90" t="s">
        <v>703</v>
      </c>
      <c r="AC41" s="90" t="s">
        <v>703</v>
      </c>
      <c r="AD41" s="90" t="s">
        <v>703</v>
      </c>
      <c r="AE41" s="90" t="s">
        <v>703</v>
      </c>
      <c r="AF41" s="90" t="s">
        <v>703</v>
      </c>
      <c r="AG41" s="90" t="s">
        <v>703</v>
      </c>
      <c r="AH41" s="90" t="s">
        <v>703</v>
      </c>
      <c r="AI41" s="90" t="s">
        <v>703</v>
      </c>
      <c r="AJ41" s="90" t="s">
        <v>703</v>
      </c>
      <c r="AK41" s="90" t="s">
        <v>703</v>
      </c>
      <c r="AL41" s="90" t="s">
        <v>703</v>
      </c>
      <c r="AM41" s="90">
        <f t="shared" si="15"/>
        <v>0</v>
      </c>
      <c r="AN41" s="90" t="s">
        <v>703</v>
      </c>
      <c r="AO41" s="90" t="s">
        <v>703</v>
      </c>
      <c r="AP41" s="90" t="s">
        <v>703</v>
      </c>
      <c r="AQ41" s="90" t="s">
        <v>703</v>
      </c>
      <c r="AR41" s="90" t="s">
        <v>703</v>
      </c>
      <c r="AS41" s="90" t="s">
        <v>703</v>
      </c>
      <c r="AT41" s="90" t="s">
        <v>703</v>
      </c>
      <c r="AU41" s="90" t="s">
        <v>703</v>
      </c>
      <c r="AV41" s="90" t="s">
        <v>703</v>
      </c>
      <c r="AW41" s="90" t="s">
        <v>703</v>
      </c>
      <c r="AX41" s="90" t="s">
        <v>702</v>
      </c>
      <c r="BA41" t="s">
        <v>2260</v>
      </c>
      <c r="BB41">
        <v>9</v>
      </c>
      <c r="BC41">
        <v>4</v>
      </c>
      <c r="BD41">
        <v>3</v>
      </c>
      <c r="BE41">
        <v>3</v>
      </c>
      <c r="BF41">
        <v>7</v>
      </c>
      <c r="BG41">
        <v>4</v>
      </c>
      <c r="BH41">
        <v>20</v>
      </c>
      <c r="BI41">
        <v>4</v>
      </c>
    </row>
    <row r="42" spans="1:62">
      <c r="A42" t="s">
        <v>2330</v>
      </c>
      <c r="E42" s="90">
        <f t="shared" si="16"/>
        <v>-2</v>
      </c>
      <c r="F42" s="90">
        <f t="shared" si="1"/>
        <v>1</v>
      </c>
      <c r="G42" s="90">
        <f t="shared" si="2"/>
        <v>1</v>
      </c>
      <c r="H42" s="90">
        <f t="shared" si="3"/>
        <v>4</v>
      </c>
      <c r="I42" s="90">
        <f t="shared" si="4"/>
        <v>-5</v>
      </c>
      <c r="J42" s="90">
        <f t="shared" si="5"/>
        <v>-5</v>
      </c>
      <c r="K42" s="242">
        <f t="shared" si="6"/>
        <v>-3</v>
      </c>
      <c r="L42" s="90">
        <f t="shared" si="7"/>
        <v>1</v>
      </c>
      <c r="M42" s="90">
        <f t="shared" si="8"/>
        <v>-8</v>
      </c>
      <c r="N42" s="90">
        <v>0</v>
      </c>
      <c r="O42" s="90" t="s">
        <v>702</v>
      </c>
      <c r="P42" s="90">
        <f t="shared" si="9"/>
        <v>4</v>
      </c>
      <c r="Q42" s="90">
        <f t="shared" si="10"/>
        <v>4</v>
      </c>
      <c r="R42" s="90">
        <f t="shared" si="11"/>
        <v>4</v>
      </c>
      <c r="S42" s="90">
        <f t="shared" si="12"/>
        <v>4</v>
      </c>
      <c r="T42" s="90">
        <f t="shared" si="13"/>
        <v>4</v>
      </c>
      <c r="U42" s="90">
        <f t="shared" si="14"/>
        <v>4</v>
      </c>
      <c r="V42" s="90"/>
      <c r="W42" s="90" t="s">
        <v>703</v>
      </c>
      <c r="X42" s="90" t="s">
        <v>703</v>
      </c>
      <c r="Y42" s="90" t="s">
        <v>703</v>
      </c>
      <c r="Z42" s="90" t="s">
        <v>703</v>
      </c>
      <c r="AA42" s="90" t="s">
        <v>703</v>
      </c>
      <c r="AB42" s="90" t="s">
        <v>703</v>
      </c>
      <c r="AC42" s="90" t="s">
        <v>703</v>
      </c>
      <c r="AD42" s="90" t="s">
        <v>703</v>
      </c>
      <c r="AE42" s="90" t="s">
        <v>703</v>
      </c>
      <c r="AF42" s="90" t="s">
        <v>703</v>
      </c>
      <c r="AG42" s="90" t="s">
        <v>703</v>
      </c>
      <c r="AH42" s="90" t="s">
        <v>703</v>
      </c>
      <c r="AI42" s="90" t="s">
        <v>703</v>
      </c>
      <c r="AJ42" s="90" t="s">
        <v>703</v>
      </c>
      <c r="AK42" s="90" t="s">
        <v>703</v>
      </c>
      <c r="AL42" s="90" t="s">
        <v>703</v>
      </c>
      <c r="AM42" s="90" t="str">
        <f t="shared" si="15"/>
        <v>Poison Touch</v>
      </c>
      <c r="AN42" s="90" t="s">
        <v>703</v>
      </c>
      <c r="AO42" s="90" t="s">
        <v>703</v>
      </c>
      <c r="AP42" s="90" t="s">
        <v>703</v>
      </c>
      <c r="AQ42" s="90" t="s">
        <v>703</v>
      </c>
      <c r="AR42" s="90" t="s">
        <v>703</v>
      </c>
      <c r="AS42" s="90" t="s">
        <v>703</v>
      </c>
      <c r="AT42" s="90" t="s">
        <v>703</v>
      </c>
      <c r="AU42" s="90" t="s">
        <v>703</v>
      </c>
      <c r="AV42" s="90" t="s">
        <v>703</v>
      </c>
      <c r="AW42" s="90" t="s">
        <v>703</v>
      </c>
      <c r="AX42" s="90" t="s">
        <v>702</v>
      </c>
      <c r="BA42" t="s">
        <v>2330</v>
      </c>
      <c r="BB42">
        <v>5</v>
      </c>
      <c r="BC42">
        <v>4</v>
      </c>
      <c r="BD42">
        <v>6</v>
      </c>
      <c r="BE42">
        <v>3</v>
      </c>
      <c r="BF42">
        <v>3</v>
      </c>
      <c r="BG42">
        <v>5</v>
      </c>
      <c r="BH42">
        <v>36</v>
      </c>
      <c r="BI42">
        <v>4</v>
      </c>
      <c r="BJ42" t="s">
        <v>1694</v>
      </c>
    </row>
    <row r="43" spans="1:62">
      <c r="A43" t="s">
        <v>2062</v>
      </c>
      <c r="E43" s="90">
        <f t="shared" si="16"/>
        <v>28</v>
      </c>
      <c r="F43" s="90">
        <f t="shared" si="1"/>
        <v>1</v>
      </c>
      <c r="G43" s="90">
        <f t="shared" si="2"/>
        <v>1</v>
      </c>
      <c r="H43" s="90">
        <f t="shared" si="3"/>
        <v>16</v>
      </c>
      <c r="I43" s="90">
        <f t="shared" si="4"/>
        <v>-2</v>
      </c>
      <c r="J43" s="90">
        <f t="shared" si="5"/>
        <v>4</v>
      </c>
      <c r="K43" s="242">
        <f t="shared" si="6"/>
        <v>4</v>
      </c>
      <c r="L43" s="90">
        <f t="shared" si="7"/>
        <v>10</v>
      </c>
      <c r="M43" s="90">
        <f t="shared" si="8"/>
        <v>-7</v>
      </c>
      <c r="N43" s="90">
        <v>0</v>
      </c>
      <c r="O43" s="90" t="s">
        <v>702</v>
      </c>
      <c r="P43" s="90" t="str">
        <f t="shared" si="9"/>
        <v>10-20+</v>
      </c>
      <c r="Q43" s="90" t="str">
        <f t="shared" si="10"/>
        <v>10-20+</v>
      </c>
      <c r="R43" s="90" t="str">
        <f t="shared" si="11"/>
        <v>10-20+</v>
      </c>
      <c r="S43" s="90" t="str">
        <f t="shared" si="12"/>
        <v>10-20+</v>
      </c>
      <c r="T43" s="90" t="str">
        <f t="shared" si="13"/>
        <v>10-20+</v>
      </c>
      <c r="U43" s="90" t="str">
        <f t="shared" si="14"/>
        <v>10-20+</v>
      </c>
      <c r="V43" s="90"/>
      <c r="W43" s="90" t="s">
        <v>703</v>
      </c>
      <c r="X43" s="90" t="s">
        <v>703</v>
      </c>
      <c r="Y43" s="90" t="s">
        <v>703</v>
      </c>
      <c r="Z43" s="90" t="s">
        <v>703</v>
      </c>
      <c r="AA43" s="90" t="s">
        <v>703</v>
      </c>
      <c r="AB43" s="90" t="s">
        <v>703</v>
      </c>
      <c r="AC43" s="90" t="s">
        <v>703</v>
      </c>
      <c r="AD43" s="90" t="s">
        <v>703</v>
      </c>
      <c r="AE43" s="90" t="s">
        <v>703</v>
      </c>
      <c r="AF43" s="90" t="s">
        <v>703</v>
      </c>
      <c r="AG43" s="90" t="s">
        <v>703</v>
      </c>
      <c r="AH43" s="90" t="s">
        <v>703</v>
      </c>
      <c r="AI43" s="90" t="s">
        <v>703</v>
      </c>
      <c r="AJ43" s="90" t="s">
        <v>703</v>
      </c>
      <c r="AK43" s="90" t="s">
        <v>703</v>
      </c>
      <c r="AL43" s="90" t="s">
        <v>703</v>
      </c>
      <c r="AM43" s="90" t="str">
        <f t="shared" si="15"/>
        <v>Adhesive Gob</v>
      </c>
      <c r="AN43" s="90" t="s">
        <v>703</v>
      </c>
      <c r="AO43" s="90" t="s">
        <v>703</v>
      </c>
      <c r="AP43" s="90" t="s">
        <v>703</v>
      </c>
      <c r="AQ43" s="90" t="s">
        <v>703</v>
      </c>
      <c r="AR43" s="90" t="s">
        <v>703</v>
      </c>
      <c r="AS43" s="90" t="s">
        <v>703</v>
      </c>
      <c r="AT43" s="90" t="s">
        <v>703</v>
      </c>
      <c r="AU43" s="90" t="s">
        <v>703</v>
      </c>
      <c r="AV43" s="90" t="s">
        <v>703</v>
      </c>
      <c r="AW43" s="90" t="s">
        <v>703</v>
      </c>
      <c r="AX43" s="90" t="s">
        <v>702</v>
      </c>
      <c r="BA43" t="s">
        <v>2062</v>
      </c>
      <c r="BB43">
        <v>5</v>
      </c>
      <c r="BC43">
        <v>14</v>
      </c>
      <c r="BD43">
        <v>10</v>
      </c>
      <c r="BE43">
        <v>4</v>
      </c>
      <c r="BF43">
        <v>6</v>
      </c>
      <c r="BG43">
        <v>8</v>
      </c>
      <c r="BH43">
        <v>60</v>
      </c>
      <c r="BI43" t="s">
        <v>2096</v>
      </c>
      <c r="BJ43" t="s">
        <v>2081</v>
      </c>
    </row>
    <row r="44" spans="1:62">
      <c r="A44" t="s">
        <v>1480</v>
      </c>
      <c r="E44" s="90">
        <f t="shared" si="16"/>
        <v>7</v>
      </c>
      <c r="F44" s="90">
        <f t="shared" si="1"/>
        <v>1</v>
      </c>
      <c r="G44" s="90">
        <f t="shared" si="2"/>
        <v>1</v>
      </c>
      <c r="H44" s="90">
        <f t="shared" si="3"/>
        <v>4</v>
      </c>
      <c r="I44" s="90">
        <f t="shared" si="4"/>
        <v>-2</v>
      </c>
      <c r="J44" s="90">
        <f t="shared" si="5"/>
        <v>-2</v>
      </c>
      <c r="K44" s="242">
        <f t="shared" si="6"/>
        <v>-3</v>
      </c>
      <c r="L44" s="90">
        <f t="shared" si="7"/>
        <v>-5</v>
      </c>
      <c r="M44" s="90">
        <f t="shared" si="8"/>
        <v>-7</v>
      </c>
      <c r="N44" s="90">
        <v>0</v>
      </c>
      <c r="O44" s="90" t="s">
        <v>702</v>
      </c>
      <c r="P44" s="90">
        <f t="shared" si="9"/>
        <v>0</v>
      </c>
      <c r="Q44" s="90">
        <f t="shared" si="10"/>
        <v>0</v>
      </c>
      <c r="R44" s="90">
        <f t="shared" si="11"/>
        <v>0</v>
      </c>
      <c r="S44" s="90">
        <f t="shared" si="12"/>
        <v>0</v>
      </c>
      <c r="T44" s="90">
        <f t="shared" si="13"/>
        <v>0</v>
      </c>
      <c r="U44" s="90">
        <f t="shared" si="14"/>
        <v>0</v>
      </c>
      <c r="V44" s="90"/>
      <c r="W44" s="90" t="s">
        <v>703</v>
      </c>
      <c r="X44" s="90" t="s">
        <v>703</v>
      </c>
      <c r="Y44" s="90" t="s">
        <v>703</v>
      </c>
      <c r="Z44" s="90" t="s">
        <v>703</v>
      </c>
      <c r="AA44" s="90" t="s">
        <v>703</v>
      </c>
      <c r="AB44" s="90" t="s">
        <v>703</v>
      </c>
      <c r="AC44" s="90" t="s">
        <v>703</v>
      </c>
      <c r="AD44" s="90" t="s">
        <v>703</v>
      </c>
      <c r="AE44" s="90" t="s">
        <v>703</v>
      </c>
      <c r="AF44" s="90" t="s">
        <v>703</v>
      </c>
      <c r="AG44" s="90" t="s">
        <v>703</v>
      </c>
      <c r="AH44" s="90" t="s">
        <v>703</v>
      </c>
      <c r="AI44" s="90" t="s">
        <v>703</v>
      </c>
      <c r="AJ44" s="90" t="s">
        <v>703</v>
      </c>
      <c r="AK44" s="90" t="s">
        <v>703</v>
      </c>
      <c r="AL44" s="90" t="s">
        <v>703</v>
      </c>
      <c r="AM44" s="90">
        <f t="shared" si="15"/>
        <v>0</v>
      </c>
      <c r="AN44" s="90" t="s">
        <v>703</v>
      </c>
      <c r="AO44" s="90" t="s">
        <v>703</v>
      </c>
      <c r="AP44" s="90" t="s">
        <v>703</v>
      </c>
      <c r="AQ44" s="90" t="s">
        <v>703</v>
      </c>
      <c r="AR44" s="90" t="s">
        <v>703</v>
      </c>
      <c r="AS44" s="90" t="s">
        <v>703</v>
      </c>
      <c r="AT44" s="90" t="s">
        <v>703</v>
      </c>
      <c r="AU44" s="90" t="s">
        <v>703</v>
      </c>
      <c r="AV44" s="90" t="s">
        <v>703</v>
      </c>
      <c r="AW44" s="90" t="s">
        <v>703</v>
      </c>
      <c r="AX44" s="90" t="s">
        <v>702</v>
      </c>
      <c r="BA44" t="s">
        <v>1480</v>
      </c>
      <c r="BB44">
        <v>5</v>
      </c>
      <c r="BC44">
        <v>7</v>
      </c>
      <c r="BD44">
        <v>6</v>
      </c>
      <c r="BE44">
        <v>4</v>
      </c>
      <c r="BF44">
        <v>4</v>
      </c>
      <c r="BG44">
        <v>3</v>
      </c>
    </row>
    <row r="45" spans="1:62">
      <c r="A45" t="s">
        <v>2264</v>
      </c>
      <c r="E45" s="90">
        <f t="shared" si="16"/>
        <v>85</v>
      </c>
      <c r="F45" s="90">
        <f t="shared" si="1"/>
        <v>43</v>
      </c>
      <c r="G45" s="90">
        <f t="shared" si="2"/>
        <v>43</v>
      </c>
      <c r="H45" s="90">
        <f t="shared" si="3"/>
        <v>70</v>
      </c>
      <c r="I45" s="90">
        <f t="shared" si="4"/>
        <v>67</v>
      </c>
      <c r="J45" s="90">
        <f t="shared" si="5"/>
        <v>64</v>
      </c>
      <c r="K45" s="242">
        <f t="shared" si="6"/>
        <v>65</v>
      </c>
      <c r="L45" s="90">
        <f t="shared" si="7"/>
        <v>64</v>
      </c>
      <c r="M45" s="90">
        <f t="shared" si="8"/>
        <v>16</v>
      </c>
      <c r="N45" s="90">
        <v>0</v>
      </c>
      <c r="O45" s="90" t="s">
        <v>702</v>
      </c>
      <c r="P45" s="90">
        <f t="shared" si="9"/>
        <v>32</v>
      </c>
      <c r="Q45" s="90">
        <f t="shared" si="10"/>
        <v>32</v>
      </c>
      <c r="R45" s="90">
        <f t="shared" si="11"/>
        <v>32</v>
      </c>
      <c r="S45" s="90">
        <f t="shared" si="12"/>
        <v>32</v>
      </c>
      <c r="T45" s="90">
        <f t="shared" si="13"/>
        <v>32</v>
      </c>
      <c r="U45" s="90">
        <f t="shared" si="14"/>
        <v>32</v>
      </c>
      <c r="V45" s="90"/>
      <c r="W45" s="90" t="s">
        <v>703</v>
      </c>
      <c r="X45" s="90" t="s">
        <v>703</v>
      </c>
      <c r="Y45" s="90" t="s">
        <v>703</v>
      </c>
      <c r="Z45" s="90" t="s">
        <v>703</v>
      </c>
      <c r="AA45" s="90" t="s">
        <v>703</v>
      </c>
      <c r="AB45" s="90" t="s">
        <v>703</v>
      </c>
      <c r="AC45" s="90" t="s">
        <v>703</v>
      </c>
      <c r="AD45" s="90" t="s">
        <v>703</v>
      </c>
      <c r="AE45" s="90" t="s">
        <v>703</v>
      </c>
      <c r="AF45" s="90" t="s">
        <v>703</v>
      </c>
      <c r="AG45" s="90" t="s">
        <v>703</v>
      </c>
      <c r="AH45" s="90" t="s">
        <v>703</v>
      </c>
      <c r="AI45" s="90" t="s">
        <v>703</v>
      </c>
      <c r="AJ45" s="90" t="s">
        <v>703</v>
      </c>
      <c r="AK45" s="90" t="s">
        <v>703</v>
      </c>
      <c r="AL45" s="90" t="s">
        <v>703</v>
      </c>
      <c r="AM45" s="90" t="str">
        <f t="shared" si="15"/>
        <v>Dragon Powers</v>
      </c>
      <c r="AN45" s="90" t="s">
        <v>703</v>
      </c>
      <c r="AO45" s="90" t="s">
        <v>703</v>
      </c>
      <c r="AP45" s="90" t="s">
        <v>703</v>
      </c>
      <c r="AQ45" s="90" t="s">
        <v>703</v>
      </c>
      <c r="AR45" s="90" t="s">
        <v>703</v>
      </c>
      <c r="AS45" s="90" t="s">
        <v>703</v>
      </c>
      <c r="AT45" s="90" t="s">
        <v>703</v>
      </c>
      <c r="AU45" s="90" t="s">
        <v>703</v>
      </c>
      <c r="AV45" s="90" t="s">
        <v>703</v>
      </c>
      <c r="AW45" s="90" t="s">
        <v>703</v>
      </c>
      <c r="AX45" s="90" t="s">
        <v>702</v>
      </c>
      <c r="BA45" t="s">
        <v>2264</v>
      </c>
      <c r="BB45">
        <v>19</v>
      </c>
      <c r="BC45">
        <v>33</v>
      </c>
      <c r="BD45">
        <v>28</v>
      </c>
      <c r="BE45">
        <v>27</v>
      </c>
      <c r="BF45">
        <v>26</v>
      </c>
      <c r="BG45">
        <v>26</v>
      </c>
      <c r="BH45">
        <v>280</v>
      </c>
      <c r="BI45">
        <v>32</v>
      </c>
      <c r="BJ45" t="s">
        <v>1970</v>
      </c>
    </row>
    <row r="46" spans="1:62">
      <c r="A46" t="s">
        <v>2223</v>
      </c>
      <c r="E46" s="90">
        <f t="shared" si="16"/>
        <v>4</v>
      </c>
      <c r="F46" s="90">
        <f t="shared" si="1"/>
        <v>4</v>
      </c>
      <c r="G46" s="90">
        <f t="shared" si="2"/>
        <v>4</v>
      </c>
      <c r="H46" s="90">
        <f t="shared" si="3"/>
        <v>1</v>
      </c>
      <c r="I46" s="90">
        <f t="shared" si="4"/>
        <v>-8</v>
      </c>
      <c r="J46" s="90">
        <f t="shared" si="5"/>
        <v>-5</v>
      </c>
      <c r="K46" s="242">
        <f t="shared" si="6"/>
        <v>-6</v>
      </c>
      <c r="L46" s="90">
        <f t="shared" si="7"/>
        <v>-5</v>
      </c>
      <c r="M46" s="90">
        <f t="shared" si="8"/>
        <v>-9</v>
      </c>
      <c r="N46" s="90">
        <v>0</v>
      </c>
      <c r="O46" s="90" t="s">
        <v>702</v>
      </c>
      <c r="P46" s="90">
        <f t="shared" si="9"/>
        <v>5</v>
      </c>
      <c r="Q46" s="90">
        <f t="shared" si="10"/>
        <v>5</v>
      </c>
      <c r="R46" s="90">
        <f t="shared" si="11"/>
        <v>5</v>
      </c>
      <c r="S46" s="90">
        <f t="shared" si="12"/>
        <v>5</v>
      </c>
      <c r="T46" s="90">
        <f t="shared" si="13"/>
        <v>5</v>
      </c>
      <c r="U46" s="90">
        <f t="shared" si="14"/>
        <v>5</v>
      </c>
      <c r="V46" s="90"/>
      <c r="W46" s="90" t="s">
        <v>703</v>
      </c>
      <c r="X46" s="90" t="s">
        <v>703</v>
      </c>
      <c r="Y46" s="90" t="s">
        <v>703</v>
      </c>
      <c r="Z46" s="90" t="s">
        <v>703</v>
      </c>
      <c r="AA46" s="90" t="s">
        <v>703</v>
      </c>
      <c r="AB46" s="90" t="s">
        <v>703</v>
      </c>
      <c r="AC46" s="90" t="s">
        <v>703</v>
      </c>
      <c r="AD46" s="90" t="s">
        <v>703</v>
      </c>
      <c r="AE46" s="90" t="s">
        <v>703</v>
      </c>
      <c r="AF46" s="90" t="s">
        <v>703</v>
      </c>
      <c r="AG46" s="90" t="s">
        <v>703</v>
      </c>
      <c r="AH46" s="90" t="s">
        <v>703</v>
      </c>
      <c r="AI46" s="90" t="s">
        <v>703</v>
      </c>
      <c r="AJ46" s="90" t="s">
        <v>703</v>
      </c>
      <c r="AK46" s="90" t="s">
        <v>703</v>
      </c>
      <c r="AL46" s="90" t="s">
        <v>703</v>
      </c>
      <c r="AM46" s="90" t="str">
        <f t="shared" si="15"/>
        <v>Irritant Poison</v>
      </c>
      <c r="AN46" s="90" t="s">
        <v>703</v>
      </c>
      <c r="AO46" s="90" t="s">
        <v>703</v>
      </c>
      <c r="AP46" s="90" t="s">
        <v>703</v>
      </c>
      <c r="AQ46" s="90" t="s">
        <v>703</v>
      </c>
      <c r="AR46" s="90" t="s">
        <v>703</v>
      </c>
      <c r="AS46" s="90" t="s">
        <v>703</v>
      </c>
      <c r="AT46" s="90" t="s">
        <v>703</v>
      </c>
      <c r="AU46" s="90" t="s">
        <v>703</v>
      </c>
      <c r="AV46" s="90" t="s">
        <v>703</v>
      </c>
      <c r="AW46" s="90" t="s">
        <v>703</v>
      </c>
      <c r="AX46" s="90" t="s">
        <v>702</v>
      </c>
      <c r="BA46" t="s">
        <v>2223</v>
      </c>
      <c r="BB46">
        <v>6</v>
      </c>
      <c r="BC46">
        <v>6</v>
      </c>
      <c r="BD46">
        <v>5</v>
      </c>
      <c r="BE46">
        <v>2</v>
      </c>
      <c r="BF46">
        <v>3</v>
      </c>
      <c r="BG46">
        <v>3</v>
      </c>
      <c r="BH46">
        <v>25</v>
      </c>
      <c r="BI46">
        <v>5</v>
      </c>
      <c r="BJ46" t="s">
        <v>2224</v>
      </c>
    </row>
    <row r="47" spans="1:62">
      <c r="A47" t="s">
        <v>2170</v>
      </c>
      <c r="E47" s="90">
        <f t="shared" si="16"/>
        <v>7</v>
      </c>
      <c r="F47" s="90">
        <f t="shared" si="1"/>
        <v>1</v>
      </c>
      <c r="G47" s="90">
        <f t="shared" si="2"/>
        <v>1</v>
      </c>
      <c r="H47" s="90">
        <f t="shared" si="3"/>
        <v>13</v>
      </c>
      <c r="I47" s="90">
        <f t="shared" si="4"/>
        <v>4</v>
      </c>
      <c r="J47" s="90">
        <f t="shared" si="5"/>
        <v>-2</v>
      </c>
      <c r="K47" s="242">
        <f t="shared" si="6"/>
        <v>1</v>
      </c>
      <c r="L47" s="90">
        <f t="shared" si="7"/>
        <v>1</v>
      </c>
      <c r="M47" s="90">
        <f t="shared" si="8"/>
        <v>-5</v>
      </c>
      <c r="N47" s="90">
        <v>0</v>
      </c>
      <c r="O47" s="90" t="s">
        <v>702</v>
      </c>
      <c r="P47" s="90">
        <f t="shared" si="9"/>
        <v>4</v>
      </c>
      <c r="Q47" s="90">
        <f t="shared" si="10"/>
        <v>4</v>
      </c>
      <c r="R47" s="90">
        <f t="shared" si="11"/>
        <v>4</v>
      </c>
      <c r="S47" s="90">
        <f t="shared" si="12"/>
        <v>4</v>
      </c>
      <c r="T47" s="90">
        <f t="shared" si="13"/>
        <v>4</v>
      </c>
      <c r="U47" s="90">
        <f t="shared" si="14"/>
        <v>4</v>
      </c>
      <c r="V47" s="90"/>
      <c r="W47" s="90" t="s">
        <v>703</v>
      </c>
      <c r="X47" s="90" t="s">
        <v>703</v>
      </c>
      <c r="Y47" s="90" t="s">
        <v>703</v>
      </c>
      <c r="Z47" s="90" t="s">
        <v>703</v>
      </c>
      <c r="AA47" s="90" t="s">
        <v>703</v>
      </c>
      <c r="AB47" s="90" t="s">
        <v>703</v>
      </c>
      <c r="AC47" s="90" t="s">
        <v>703</v>
      </c>
      <c r="AD47" s="90" t="s">
        <v>703</v>
      </c>
      <c r="AE47" s="90" t="s">
        <v>703</v>
      </c>
      <c r="AF47" s="90" t="s">
        <v>703</v>
      </c>
      <c r="AG47" s="90" t="s">
        <v>703</v>
      </c>
      <c r="AH47" s="90" t="s">
        <v>703</v>
      </c>
      <c r="AI47" s="90" t="s">
        <v>703</v>
      </c>
      <c r="AJ47" s="90" t="s">
        <v>703</v>
      </c>
      <c r="AK47" s="90" t="s">
        <v>703</v>
      </c>
      <c r="AL47" s="90" t="s">
        <v>703</v>
      </c>
      <c r="AM47" s="90">
        <f t="shared" si="15"/>
        <v>0</v>
      </c>
      <c r="AN47" s="90" t="s">
        <v>703</v>
      </c>
      <c r="AO47" s="90" t="s">
        <v>703</v>
      </c>
      <c r="AP47" s="90" t="s">
        <v>703</v>
      </c>
      <c r="AQ47" s="90" t="s">
        <v>703</v>
      </c>
      <c r="AR47" s="90" t="s">
        <v>703</v>
      </c>
      <c r="AS47" s="90" t="s">
        <v>703</v>
      </c>
      <c r="AT47" s="90" t="s">
        <v>703</v>
      </c>
      <c r="AU47" s="90" t="s">
        <v>703</v>
      </c>
      <c r="AV47" s="90" t="s">
        <v>703</v>
      </c>
      <c r="AW47" s="90" t="s">
        <v>703</v>
      </c>
      <c r="AX47" s="90" t="s">
        <v>702</v>
      </c>
      <c r="BA47" t="s">
        <v>2170</v>
      </c>
      <c r="BB47">
        <v>5</v>
      </c>
      <c r="BC47">
        <v>7</v>
      </c>
      <c r="BD47">
        <v>9</v>
      </c>
      <c r="BE47">
        <v>6</v>
      </c>
      <c r="BF47">
        <v>4</v>
      </c>
      <c r="BG47">
        <v>5</v>
      </c>
      <c r="BH47">
        <v>50</v>
      </c>
      <c r="BI47">
        <v>4</v>
      </c>
    </row>
    <row r="48" spans="1:62">
      <c r="A48" t="s">
        <v>1971</v>
      </c>
      <c r="E48" s="90">
        <f t="shared" si="16"/>
        <v>10</v>
      </c>
      <c r="F48" s="90">
        <f t="shared" si="1"/>
        <v>7</v>
      </c>
      <c r="G48" s="90">
        <f t="shared" si="2"/>
        <v>7</v>
      </c>
      <c r="H48" s="90">
        <f t="shared" si="3"/>
        <v>10</v>
      </c>
      <c r="I48" s="90">
        <f t="shared" si="4"/>
        <v>7</v>
      </c>
      <c r="J48" s="90">
        <f t="shared" si="5"/>
        <v>1</v>
      </c>
      <c r="K48" s="242">
        <f t="shared" si="6"/>
        <v>5</v>
      </c>
      <c r="L48" s="90">
        <f t="shared" si="7"/>
        <v>7</v>
      </c>
      <c r="M48" s="90">
        <f t="shared" si="8"/>
        <v>-4</v>
      </c>
      <c r="N48" s="90">
        <v>0</v>
      </c>
      <c r="O48" s="90" t="s">
        <v>702</v>
      </c>
      <c r="P48" s="90">
        <f t="shared" si="9"/>
        <v>5</v>
      </c>
      <c r="Q48" s="90">
        <f t="shared" si="10"/>
        <v>5</v>
      </c>
      <c r="R48" s="90">
        <f t="shared" si="11"/>
        <v>5</v>
      </c>
      <c r="S48" s="90">
        <f t="shared" si="12"/>
        <v>5</v>
      </c>
      <c r="T48" s="90">
        <f t="shared" si="13"/>
        <v>5</v>
      </c>
      <c r="U48" s="90">
        <f t="shared" si="14"/>
        <v>5</v>
      </c>
      <c r="V48" s="90"/>
      <c r="W48" s="90" t="s">
        <v>703</v>
      </c>
      <c r="X48" s="90" t="s">
        <v>703</v>
      </c>
      <c r="Y48" s="90" t="s">
        <v>703</v>
      </c>
      <c r="Z48" s="90" t="s">
        <v>703</v>
      </c>
      <c r="AA48" s="90" t="s">
        <v>703</v>
      </c>
      <c r="AB48" s="90" t="s">
        <v>703</v>
      </c>
      <c r="AC48" s="90" t="s">
        <v>703</v>
      </c>
      <c r="AD48" s="90" t="s">
        <v>703</v>
      </c>
      <c r="AE48" s="90" t="s">
        <v>703</v>
      </c>
      <c r="AF48" s="90" t="s">
        <v>703</v>
      </c>
      <c r="AG48" s="90" t="s">
        <v>703</v>
      </c>
      <c r="AH48" s="90" t="s">
        <v>703</v>
      </c>
      <c r="AI48" s="90" t="s">
        <v>703</v>
      </c>
      <c r="AJ48" s="90" t="s">
        <v>703</v>
      </c>
      <c r="AK48" s="90" t="s">
        <v>703</v>
      </c>
      <c r="AL48" s="90" t="s">
        <v>703</v>
      </c>
      <c r="AM48" s="90" t="str">
        <f t="shared" si="15"/>
        <v>Fear</v>
      </c>
      <c r="AN48" s="90" t="s">
        <v>703</v>
      </c>
      <c r="AO48" s="90" t="s">
        <v>703</v>
      </c>
      <c r="AP48" s="90" t="s">
        <v>703</v>
      </c>
      <c r="AQ48" s="90" t="s">
        <v>703</v>
      </c>
      <c r="AR48" s="90" t="s">
        <v>703</v>
      </c>
      <c r="AS48" s="90" t="s">
        <v>703</v>
      </c>
      <c r="AT48" s="90" t="s">
        <v>703</v>
      </c>
      <c r="AU48" s="90" t="s">
        <v>703</v>
      </c>
      <c r="AV48" s="90" t="s">
        <v>703</v>
      </c>
      <c r="AW48" s="90" t="s">
        <v>703</v>
      </c>
      <c r="AX48" s="90" t="s">
        <v>702</v>
      </c>
      <c r="BA48" t="s">
        <v>1971</v>
      </c>
      <c r="BB48">
        <v>7</v>
      </c>
      <c r="BC48">
        <v>8</v>
      </c>
      <c r="BD48">
        <v>8</v>
      </c>
      <c r="BE48">
        <v>7</v>
      </c>
      <c r="BF48">
        <v>5</v>
      </c>
      <c r="BG48">
        <v>7</v>
      </c>
      <c r="BH48">
        <v>55</v>
      </c>
      <c r="BI48">
        <v>5</v>
      </c>
      <c r="BJ48" t="s">
        <v>2119</v>
      </c>
    </row>
    <row r="49" spans="1:62">
      <c r="A49" t="s">
        <v>2225</v>
      </c>
      <c r="E49" s="90">
        <f t="shared" si="16"/>
        <v>46</v>
      </c>
      <c r="F49" s="90">
        <f t="shared" si="1"/>
        <v>31</v>
      </c>
      <c r="G49" s="90">
        <f t="shared" si="2"/>
        <v>31</v>
      </c>
      <c r="H49" s="90">
        <f t="shared" si="3"/>
        <v>52</v>
      </c>
      <c r="I49" s="90">
        <f t="shared" si="4"/>
        <v>22</v>
      </c>
      <c r="J49" s="90">
        <f t="shared" si="5"/>
        <v>31</v>
      </c>
      <c r="K49" s="242">
        <f t="shared" si="6"/>
        <v>25</v>
      </c>
      <c r="L49" s="90">
        <f t="shared" si="7"/>
        <v>22</v>
      </c>
      <c r="M49" s="90">
        <f t="shared" si="8"/>
        <v>1</v>
      </c>
      <c r="N49" s="90">
        <v>0</v>
      </c>
      <c r="O49" s="90" t="s">
        <v>702</v>
      </c>
      <c r="P49" s="90">
        <f t="shared" si="9"/>
        <v>12</v>
      </c>
      <c r="Q49" s="90">
        <f t="shared" si="10"/>
        <v>12</v>
      </c>
      <c r="R49" s="90">
        <f t="shared" si="11"/>
        <v>12</v>
      </c>
      <c r="S49" s="90">
        <f t="shared" si="12"/>
        <v>12</v>
      </c>
      <c r="T49" s="90">
        <f t="shared" si="13"/>
        <v>12</v>
      </c>
      <c r="U49" s="90">
        <f t="shared" si="14"/>
        <v>12</v>
      </c>
      <c r="V49" s="90"/>
      <c r="W49" s="90" t="s">
        <v>703</v>
      </c>
      <c r="X49" s="90" t="s">
        <v>703</v>
      </c>
      <c r="Y49" s="90" t="s">
        <v>703</v>
      </c>
      <c r="Z49" s="90" t="s">
        <v>703</v>
      </c>
      <c r="AA49" s="90" t="s">
        <v>703</v>
      </c>
      <c r="AB49" s="90" t="s">
        <v>703</v>
      </c>
      <c r="AC49" s="90" t="s">
        <v>703</v>
      </c>
      <c r="AD49" s="90" t="s">
        <v>703</v>
      </c>
      <c r="AE49" s="90" t="s">
        <v>703</v>
      </c>
      <c r="AF49" s="90" t="s">
        <v>703</v>
      </c>
      <c r="AG49" s="90" t="s">
        <v>703</v>
      </c>
      <c r="AH49" s="90" t="s">
        <v>703</v>
      </c>
      <c r="AI49" s="90" t="s">
        <v>703</v>
      </c>
      <c r="AJ49" s="90" t="s">
        <v>703</v>
      </c>
      <c r="AK49" s="90" t="s">
        <v>703</v>
      </c>
      <c r="AL49" s="90" t="s">
        <v>703</v>
      </c>
      <c r="AM49" s="90">
        <f t="shared" si="15"/>
        <v>0</v>
      </c>
      <c r="AN49" s="90" t="s">
        <v>703</v>
      </c>
      <c r="AO49" s="90" t="s">
        <v>703</v>
      </c>
      <c r="AP49" s="90" t="s">
        <v>703</v>
      </c>
      <c r="AQ49" s="90" t="s">
        <v>703</v>
      </c>
      <c r="AR49" s="90" t="s">
        <v>703</v>
      </c>
      <c r="AS49" s="90" t="s">
        <v>703</v>
      </c>
      <c r="AT49" s="90" t="s">
        <v>703</v>
      </c>
      <c r="AU49" s="90" t="s">
        <v>703</v>
      </c>
      <c r="AV49" s="90" t="s">
        <v>703</v>
      </c>
      <c r="AW49" s="90" t="s">
        <v>703</v>
      </c>
      <c r="AX49" s="90" t="s">
        <v>702</v>
      </c>
      <c r="BA49" t="s">
        <v>2225</v>
      </c>
      <c r="BB49">
        <v>15</v>
      </c>
      <c r="BC49">
        <v>20</v>
      </c>
      <c r="BD49">
        <v>22</v>
      </c>
      <c r="BE49">
        <v>12</v>
      </c>
      <c r="BF49">
        <v>15</v>
      </c>
      <c r="BG49">
        <v>12</v>
      </c>
      <c r="BH49">
        <v>100</v>
      </c>
      <c r="BI49">
        <v>12</v>
      </c>
    </row>
    <row r="50" spans="1:62">
      <c r="A50" t="s">
        <v>1874</v>
      </c>
      <c r="E50" s="90">
        <f t="shared" si="16"/>
        <v>-2</v>
      </c>
      <c r="F50" s="90">
        <f t="shared" si="1"/>
        <v>1</v>
      </c>
      <c r="G50" s="90">
        <f t="shared" si="2"/>
        <v>1</v>
      </c>
      <c r="H50" s="90">
        <f t="shared" si="3"/>
        <v>1</v>
      </c>
      <c r="I50" s="90">
        <f t="shared" si="4"/>
        <v>1</v>
      </c>
      <c r="J50" s="90">
        <f t="shared" si="5"/>
        <v>-2</v>
      </c>
      <c r="K50" s="242">
        <f t="shared" si="6"/>
        <v>-3</v>
      </c>
      <c r="L50" s="90">
        <f t="shared" si="7"/>
        <v>-8</v>
      </c>
      <c r="M50" s="90">
        <f t="shared" si="8"/>
        <v>-6</v>
      </c>
      <c r="N50" s="90">
        <v>0</v>
      </c>
      <c r="O50" s="90" t="s">
        <v>702</v>
      </c>
      <c r="P50" s="90">
        <f t="shared" si="9"/>
        <v>3</v>
      </c>
      <c r="Q50" s="90">
        <f t="shared" si="10"/>
        <v>3</v>
      </c>
      <c r="R50" s="90">
        <f t="shared" si="11"/>
        <v>3</v>
      </c>
      <c r="S50" s="90">
        <f t="shared" si="12"/>
        <v>3</v>
      </c>
      <c r="T50" s="90">
        <f t="shared" si="13"/>
        <v>3</v>
      </c>
      <c r="U50" s="90">
        <f t="shared" si="14"/>
        <v>3</v>
      </c>
      <c r="V50" s="90"/>
      <c r="W50" s="90" t="s">
        <v>703</v>
      </c>
      <c r="X50" s="90" t="s">
        <v>703</v>
      </c>
      <c r="Y50" s="90" t="s">
        <v>703</v>
      </c>
      <c r="Z50" s="90" t="s">
        <v>703</v>
      </c>
      <c r="AA50" s="90" t="s">
        <v>703</v>
      </c>
      <c r="AB50" s="90" t="s">
        <v>703</v>
      </c>
      <c r="AC50" s="90" t="s">
        <v>703</v>
      </c>
      <c r="AD50" s="90" t="s">
        <v>703</v>
      </c>
      <c r="AE50" s="90" t="s">
        <v>703</v>
      </c>
      <c r="AF50" s="90" t="s">
        <v>703</v>
      </c>
      <c r="AG50" s="90" t="s">
        <v>703</v>
      </c>
      <c r="AH50" s="90" t="s">
        <v>703</v>
      </c>
      <c r="AI50" s="90" t="s">
        <v>703</v>
      </c>
      <c r="AJ50" s="90" t="s">
        <v>703</v>
      </c>
      <c r="AK50" s="90" t="s">
        <v>703</v>
      </c>
      <c r="AL50" s="90" t="s">
        <v>703</v>
      </c>
      <c r="AM50" s="90" t="str">
        <f t="shared" si="15"/>
        <v>Taunt, Curse</v>
      </c>
      <c r="AN50" s="90" t="s">
        <v>703</v>
      </c>
      <c r="AO50" s="90" t="s">
        <v>703</v>
      </c>
      <c r="AP50" s="90" t="s">
        <v>703</v>
      </c>
      <c r="AQ50" s="90" t="s">
        <v>703</v>
      </c>
      <c r="AR50" s="90" t="s">
        <v>703</v>
      </c>
      <c r="AS50" s="90" t="s">
        <v>703</v>
      </c>
      <c r="AT50" s="90" t="s">
        <v>703</v>
      </c>
      <c r="AU50" s="90" t="s">
        <v>703</v>
      </c>
      <c r="AV50" s="90" t="s">
        <v>703</v>
      </c>
      <c r="AW50" s="90" t="s">
        <v>703</v>
      </c>
      <c r="AX50" s="90" t="s">
        <v>702</v>
      </c>
      <c r="BA50" t="s">
        <v>1874</v>
      </c>
      <c r="BB50">
        <v>5</v>
      </c>
      <c r="BC50">
        <v>4</v>
      </c>
      <c r="BD50">
        <v>5</v>
      </c>
      <c r="BE50">
        <v>5</v>
      </c>
      <c r="BF50">
        <v>4</v>
      </c>
      <c r="BG50">
        <v>2</v>
      </c>
      <c r="BH50">
        <v>35</v>
      </c>
      <c r="BI50">
        <v>3</v>
      </c>
      <c r="BJ50" t="s">
        <v>2226</v>
      </c>
    </row>
    <row r="51" spans="1:62">
      <c r="A51" t="s">
        <v>1363</v>
      </c>
      <c r="E51" s="90">
        <f t="shared" si="16"/>
        <v>43</v>
      </c>
      <c r="F51" s="90">
        <f t="shared" si="1"/>
        <v>34</v>
      </c>
      <c r="G51" s="90">
        <f t="shared" si="2"/>
        <v>34</v>
      </c>
      <c r="H51" s="90">
        <f t="shared" si="3"/>
        <v>46</v>
      </c>
      <c r="I51" s="90">
        <f t="shared" si="4"/>
        <v>43</v>
      </c>
      <c r="J51" s="90">
        <f t="shared" si="5"/>
        <v>52</v>
      </c>
      <c r="K51" s="242">
        <f t="shared" si="6"/>
        <v>45</v>
      </c>
      <c r="L51" s="90">
        <f t="shared" si="7"/>
        <v>40</v>
      </c>
      <c r="M51" s="90">
        <f t="shared" si="8"/>
        <v>8</v>
      </c>
      <c r="N51" s="90">
        <v>0</v>
      </c>
      <c r="O51" s="90" t="s">
        <v>702</v>
      </c>
      <c r="P51" s="90">
        <f t="shared" si="9"/>
        <v>20</v>
      </c>
      <c r="Q51" s="90">
        <f t="shared" si="10"/>
        <v>20</v>
      </c>
      <c r="R51" s="90">
        <f t="shared" si="11"/>
        <v>20</v>
      </c>
      <c r="S51" s="90">
        <f t="shared" si="12"/>
        <v>20</v>
      </c>
      <c r="T51" s="90">
        <f t="shared" si="13"/>
        <v>20</v>
      </c>
      <c r="U51" s="90">
        <f t="shared" si="14"/>
        <v>20</v>
      </c>
      <c r="V51" s="90"/>
      <c r="W51" s="90" t="s">
        <v>703</v>
      </c>
      <c r="X51" s="90" t="s">
        <v>703</v>
      </c>
      <c r="Y51" s="90" t="s">
        <v>703</v>
      </c>
      <c r="Z51" s="90" t="s">
        <v>703</v>
      </c>
      <c r="AA51" s="90" t="s">
        <v>703</v>
      </c>
      <c r="AB51" s="90" t="s">
        <v>703</v>
      </c>
      <c r="AC51" s="90" t="s">
        <v>703</v>
      </c>
      <c r="AD51" s="90" t="s">
        <v>703</v>
      </c>
      <c r="AE51" s="90" t="s">
        <v>703</v>
      </c>
      <c r="AF51" s="90" t="s">
        <v>703</v>
      </c>
      <c r="AG51" s="90" t="s">
        <v>703</v>
      </c>
      <c r="AH51" s="90" t="s">
        <v>703</v>
      </c>
      <c r="AI51" s="90" t="s">
        <v>703</v>
      </c>
      <c r="AJ51" s="90" t="s">
        <v>703</v>
      </c>
      <c r="AK51" s="90" t="s">
        <v>703</v>
      </c>
      <c r="AL51" s="90" t="s">
        <v>703</v>
      </c>
      <c r="AM51" s="90">
        <f t="shared" si="15"/>
        <v>0</v>
      </c>
      <c r="AN51" s="90" t="s">
        <v>703</v>
      </c>
      <c r="AO51" s="90" t="s">
        <v>703</v>
      </c>
      <c r="AP51" s="90" t="s">
        <v>703</v>
      </c>
      <c r="AQ51" s="90" t="s">
        <v>703</v>
      </c>
      <c r="AR51" s="90" t="s">
        <v>703</v>
      </c>
      <c r="AS51" s="90" t="s">
        <v>703</v>
      </c>
      <c r="AT51" s="90" t="s">
        <v>703</v>
      </c>
      <c r="AU51" s="90" t="s">
        <v>703</v>
      </c>
      <c r="AV51" s="90" t="s">
        <v>703</v>
      </c>
      <c r="AW51" s="90" t="s">
        <v>703</v>
      </c>
      <c r="AX51" s="90" t="s">
        <v>702</v>
      </c>
      <c r="BA51" t="s">
        <v>1363</v>
      </c>
      <c r="BB51">
        <v>16</v>
      </c>
      <c r="BC51">
        <v>19</v>
      </c>
      <c r="BD51">
        <v>20</v>
      </c>
      <c r="BE51">
        <v>19</v>
      </c>
      <c r="BF51">
        <v>22</v>
      </c>
      <c r="BG51">
        <v>18</v>
      </c>
      <c r="BH51">
        <v>140</v>
      </c>
      <c r="BI51">
        <v>20</v>
      </c>
    </row>
    <row r="52" spans="1:62">
      <c r="A52" t="s">
        <v>774</v>
      </c>
      <c r="E52" s="90">
        <f t="shared" si="16"/>
        <v>10</v>
      </c>
      <c r="F52" s="90">
        <f t="shared" si="1"/>
        <v>7</v>
      </c>
      <c r="G52" s="90">
        <f t="shared" si="2"/>
        <v>7</v>
      </c>
      <c r="H52" s="90">
        <f t="shared" si="3"/>
        <v>4</v>
      </c>
      <c r="I52" s="90">
        <f t="shared" si="4"/>
        <v>-5</v>
      </c>
      <c r="J52" s="90">
        <f t="shared" si="5"/>
        <v>-2</v>
      </c>
      <c r="K52" s="242">
        <f t="shared" si="6"/>
        <v>-3</v>
      </c>
      <c r="L52" s="90">
        <f t="shared" si="7"/>
        <v>-2</v>
      </c>
      <c r="M52" s="90">
        <f t="shared" si="8"/>
        <v>-8</v>
      </c>
      <c r="N52" s="90">
        <v>0</v>
      </c>
      <c r="O52" s="90" t="s">
        <v>702</v>
      </c>
      <c r="P52" s="90">
        <f t="shared" si="9"/>
        <v>5</v>
      </c>
      <c r="Q52" s="90">
        <f t="shared" si="10"/>
        <v>5</v>
      </c>
      <c r="R52" s="90">
        <f t="shared" si="11"/>
        <v>5</v>
      </c>
      <c r="S52" s="90">
        <f t="shared" si="12"/>
        <v>5</v>
      </c>
      <c r="T52" s="90">
        <f t="shared" si="13"/>
        <v>5</v>
      </c>
      <c r="U52" s="90">
        <f t="shared" si="14"/>
        <v>5</v>
      </c>
      <c r="V52" s="90"/>
      <c r="W52" s="90" t="s">
        <v>703</v>
      </c>
      <c r="X52" s="90" t="s">
        <v>703</v>
      </c>
      <c r="Y52" s="90" t="s">
        <v>703</v>
      </c>
      <c r="Z52" s="90" t="s">
        <v>703</v>
      </c>
      <c r="AA52" s="90" t="s">
        <v>703</v>
      </c>
      <c r="AB52" s="90" t="s">
        <v>703</v>
      </c>
      <c r="AC52" s="90" t="s">
        <v>703</v>
      </c>
      <c r="AD52" s="90" t="s">
        <v>703</v>
      </c>
      <c r="AE52" s="90" t="s">
        <v>703</v>
      </c>
      <c r="AF52" s="90" t="s">
        <v>703</v>
      </c>
      <c r="AG52" s="90" t="s">
        <v>703</v>
      </c>
      <c r="AH52" s="90" t="s">
        <v>703</v>
      </c>
      <c r="AI52" s="90" t="s">
        <v>703</v>
      </c>
      <c r="AJ52" s="90" t="s">
        <v>703</v>
      </c>
      <c r="AK52" s="90" t="s">
        <v>703</v>
      </c>
      <c r="AL52" s="90" t="s">
        <v>703</v>
      </c>
      <c r="AM52" s="90" t="str">
        <f t="shared" si="15"/>
        <v>Fire Breath</v>
      </c>
      <c r="AN52" s="90" t="s">
        <v>703</v>
      </c>
      <c r="AO52" s="90" t="s">
        <v>703</v>
      </c>
      <c r="AP52" s="90" t="s">
        <v>703</v>
      </c>
      <c r="AQ52" s="90" t="s">
        <v>703</v>
      </c>
      <c r="AR52" s="90" t="s">
        <v>703</v>
      </c>
      <c r="AS52" s="90" t="s">
        <v>703</v>
      </c>
      <c r="AT52" s="90" t="s">
        <v>703</v>
      </c>
      <c r="AU52" s="90" t="s">
        <v>703</v>
      </c>
      <c r="AV52" s="90" t="s">
        <v>703</v>
      </c>
      <c r="AW52" s="90" t="s">
        <v>703</v>
      </c>
      <c r="AX52" s="90" t="s">
        <v>702</v>
      </c>
      <c r="BA52" t="s">
        <v>774</v>
      </c>
      <c r="BB52">
        <v>7</v>
      </c>
      <c r="BC52">
        <v>8</v>
      </c>
      <c r="BD52">
        <v>6</v>
      </c>
      <c r="BE52">
        <v>3</v>
      </c>
      <c r="BF52">
        <v>4</v>
      </c>
      <c r="BG52">
        <v>4</v>
      </c>
      <c r="BH52">
        <v>60</v>
      </c>
      <c r="BI52">
        <v>5</v>
      </c>
      <c r="BJ52" t="s">
        <v>1968</v>
      </c>
    </row>
    <row r="53" spans="1:62">
      <c r="A53" t="s">
        <v>1291</v>
      </c>
      <c r="E53" s="90">
        <f t="shared" si="16"/>
        <v>7</v>
      </c>
      <c r="F53" s="90">
        <f t="shared" si="1"/>
        <v>4</v>
      </c>
      <c r="G53" s="90">
        <f t="shared" si="2"/>
        <v>4</v>
      </c>
      <c r="H53" s="90">
        <f t="shared" si="3"/>
        <v>10</v>
      </c>
      <c r="I53" s="90">
        <f t="shared" si="4"/>
        <v>-5</v>
      </c>
      <c r="J53" s="90">
        <f t="shared" si="5"/>
        <v>-2</v>
      </c>
      <c r="K53" s="242">
        <f t="shared" si="6"/>
        <v>-3</v>
      </c>
      <c r="L53" s="90">
        <f t="shared" si="7"/>
        <v>-2</v>
      </c>
      <c r="M53" s="90">
        <f t="shared" si="8"/>
        <v>-8</v>
      </c>
      <c r="N53" s="90">
        <v>0</v>
      </c>
      <c r="O53" s="90" t="s">
        <v>702</v>
      </c>
      <c r="P53" s="90">
        <f t="shared" si="9"/>
        <v>0</v>
      </c>
      <c r="Q53" s="90">
        <f t="shared" si="10"/>
        <v>0</v>
      </c>
      <c r="R53" s="90">
        <f t="shared" si="11"/>
        <v>0</v>
      </c>
      <c r="S53" s="90">
        <f t="shared" si="12"/>
        <v>0</v>
      </c>
      <c r="T53" s="90">
        <f t="shared" si="13"/>
        <v>0</v>
      </c>
      <c r="U53" s="90">
        <f t="shared" si="14"/>
        <v>0</v>
      </c>
      <c r="V53" s="90"/>
      <c r="W53" s="90" t="s">
        <v>703</v>
      </c>
      <c r="X53" s="90" t="s">
        <v>703</v>
      </c>
      <c r="Y53" s="90" t="s">
        <v>703</v>
      </c>
      <c r="Z53" s="90" t="s">
        <v>703</v>
      </c>
      <c r="AA53" s="90" t="s">
        <v>703</v>
      </c>
      <c r="AB53" s="90" t="s">
        <v>703</v>
      </c>
      <c r="AC53" s="90" t="s">
        <v>703</v>
      </c>
      <c r="AD53" s="90" t="s">
        <v>703</v>
      </c>
      <c r="AE53" s="90" t="s">
        <v>703</v>
      </c>
      <c r="AF53" s="90" t="s">
        <v>703</v>
      </c>
      <c r="AG53" s="90" t="s">
        <v>703</v>
      </c>
      <c r="AH53" s="90" t="s">
        <v>703</v>
      </c>
      <c r="AI53" s="90" t="s">
        <v>703</v>
      </c>
      <c r="AJ53" s="90" t="s">
        <v>703</v>
      </c>
      <c r="AK53" s="90" t="s">
        <v>703</v>
      </c>
      <c r="AL53" s="90" t="s">
        <v>703</v>
      </c>
      <c r="AM53" s="90">
        <f t="shared" si="15"/>
        <v>0</v>
      </c>
      <c r="AN53" s="90" t="s">
        <v>703</v>
      </c>
      <c r="AO53" s="90" t="s">
        <v>703</v>
      </c>
      <c r="AP53" s="90" t="s">
        <v>703</v>
      </c>
      <c r="AQ53" s="90" t="s">
        <v>703</v>
      </c>
      <c r="AR53" s="90" t="s">
        <v>703</v>
      </c>
      <c r="AS53" s="90" t="s">
        <v>703</v>
      </c>
      <c r="AT53" s="90" t="s">
        <v>703</v>
      </c>
      <c r="AU53" s="90" t="s">
        <v>703</v>
      </c>
      <c r="AV53" s="90" t="s">
        <v>703</v>
      </c>
      <c r="AW53" s="90" t="s">
        <v>703</v>
      </c>
      <c r="AX53" s="90" t="s">
        <v>702</v>
      </c>
      <c r="BA53" t="s">
        <v>1291</v>
      </c>
      <c r="BB53">
        <v>6</v>
      </c>
      <c r="BC53">
        <v>7</v>
      </c>
      <c r="BD53">
        <v>8</v>
      </c>
      <c r="BE53">
        <v>3</v>
      </c>
      <c r="BF53">
        <v>4</v>
      </c>
      <c r="BG53">
        <v>4</v>
      </c>
    </row>
    <row r="54" spans="1:62">
      <c r="A54" t="s">
        <v>2051</v>
      </c>
      <c r="E54" s="90">
        <f t="shared" si="16"/>
        <v>7</v>
      </c>
      <c r="F54" s="90">
        <f t="shared" si="1"/>
        <v>4</v>
      </c>
      <c r="G54" s="90">
        <f t="shared" si="2"/>
        <v>4</v>
      </c>
      <c r="H54" s="90">
        <f t="shared" si="3"/>
        <v>10</v>
      </c>
      <c r="I54" s="90">
        <f t="shared" si="4"/>
        <v>-5</v>
      </c>
      <c r="J54" s="90">
        <f t="shared" si="5"/>
        <v>-2</v>
      </c>
      <c r="K54" s="242">
        <f t="shared" si="6"/>
        <v>-3</v>
      </c>
      <c r="L54" s="90">
        <f t="shared" si="7"/>
        <v>-2</v>
      </c>
      <c r="M54" s="90">
        <f t="shared" si="8"/>
        <v>-8</v>
      </c>
      <c r="N54" s="90">
        <v>0</v>
      </c>
      <c r="O54" s="90" t="s">
        <v>702</v>
      </c>
      <c r="P54" s="90">
        <f t="shared" si="9"/>
        <v>0</v>
      </c>
      <c r="Q54" s="90">
        <f t="shared" si="10"/>
        <v>0</v>
      </c>
      <c r="R54" s="90">
        <f t="shared" si="11"/>
        <v>0</v>
      </c>
      <c r="S54" s="90">
        <f t="shared" si="12"/>
        <v>0</v>
      </c>
      <c r="T54" s="90">
        <f t="shared" si="13"/>
        <v>0</v>
      </c>
      <c r="U54" s="90">
        <f t="shared" si="14"/>
        <v>0</v>
      </c>
      <c r="V54" s="90"/>
      <c r="W54" s="90" t="s">
        <v>703</v>
      </c>
      <c r="X54" s="90" t="s">
        <v>703</v>
      </c>
      <c r="Y54" s="90" t="s">
        <v>703</v>
      </c>
      <c r="Z54" s="90" t="s">
        <v>703</v>
      </c>
      <c r="AA54" s="90" t="s">
        <v>703</v>
      </c>
      <c r="AB54" s="90" t="s">
        <v>703</v>
      </c>
      <c r="AC54" s="90" t="s">
        <v>703</v>
      </c>
      <c r="AD54" s="90" t="s">
        <v>703</v>
      </c>
      <c r="AE54" s="90" t="s">
        <v>703</v>
      </c>
      <c r="AF54" s="90" t="s">
        <v>703</v>
      </c>
      <c r="AG54" s="90" t="s">
        <v>703</v>
      </c>
      <c r="AH54" s="90" t="s">
        <v>703</v>
      </c>
      <c r="AI54" s="90" t="s">
        <v>703</v>
      </c>
      <c r="AJ54" s="90" t="s">
        <v>703</v>
      </c>
      <c r="AK54" s="90" t="s">
        <v>703</v>
      </c>
      <c r="AL54" s="90" t="s">
        <v>703</v>
      </c>
      <c r="AM54" s="90">
        <f t="shared" si="15"/>
        <v>0</v>
      </c>
      <c r="AN54" s="90" t="s">
        <v>703</v>
      </c>
      <c r="AO54" s="90" t="s">
        <v>703</v>
      </c>
      <c r="AP54" s="90" t="s">
        <v>703</v>
      </c>
      <c r="AQ54" s="90" t="s">
        <v>703</v>
      </c>
      <c r="AR54" s="90" t="s">
        <v>703</v>
      </c>
      <c r="AS54" s="90" t="s">
        <v>703</v>
      </c>
      <c r="AT54" s="90" t="s">
        <v>703</v>
      </c>
      <c r="AU54" s="90" t="s">
        <v>703</v>
      </c>
      <c r="AV54" s="90" t="s">
        <v>703</v>
      </c>
      <c r="AW54" s="90" t="s">
        <v>703</v>
      </c>
      <c r="AX54" s="90" t="s">
        <v>702</v>
      </c>
      <c r="BA54" t="s">
        <v>2051</v>
      </c>
      <c r="BB54">
        <v>6</v>
      </c>
      <c r="BC54">
        <v>7</v>
      </c>
      <c r="BD54">
        <v>8</v>
      </c>
      <c r="BE54">
        <v>3</v>
      </c>
      <c r="BF54">
        <v>4</v>
      </c>
      <c r="BG54">
        <v>4</v>
      </c>
      <c r="BH54">
        <v>44</v>
      </c>
      <c r="BI54">
        <v>0</v>
      </c>
    </row>
    <row r="55" spans="1:62">
      <c r="A55" t="s">
        <v>2050</v>
      </c>
      <c r="E55" s="90">
        <f t="shared" si="16"/>
        <v>13</v>
      </c>
      <c r="F55" s="90">
        <f t="shared" si="1"/>
        <v>7</v>
      </c>
      <c r="G55" s="90">
        <f t="shared" si="2"/>
        <v>7</v>
      </c>
      <c r="H55" s="90">
        <f t="shared" si="3"/>
        <v>10</v>
      </c>
      <c r="I55" s="90">
        <f t="shared" si="4"/>
        <v>4</v>
      </c>
      <c r="J55" s="90">
        <f t="shared" si="5"/>
        <v>7</v>
      </c>
      <c r="K55" s="242">
        <f t="shared" si="6"/>
        <v>4</v>
      </c>
      <c r="L55" s="90">
        <f t="shared" si="7"/>
        <v>1</v>
      </c>
      <c r="M55" s="90">
        <f t="shared" si="8"/>
        <v>-5</v>
      </c>
      <c r="N55" s="90">
        <v>0</v>
      </c>
      <c r="O55" s="90" t="s">
        <v>702</v>
      </c>
      <c r="P55" s="90">
        <f t="shared" si="9"/>
        <v>0</v>
      </c>
      <c r="Q55" s="90">
        <f t="shared" si="10"/>
        <v>0</v>
      </c>
      <c r="R55" s="90">
        <f t="shared" si="11"/>
        <v>0</v>
      </c>
      <c r="S55" s="90">
        <f t="shared" si="12"/>
        <v>0</v>
      </c>
      <c r="T55" s="90">
        <f t="shared" si="13"/>
        <v>0</v>
      </c>
      <c r="U55" s="90">
        <f t="shared" si="14"/>
        <v>0</v>
      </c>
      <c r="V55" s="90"/>
      <c r="W55" s="90" t="s">
        <v>703</v>
      </c>
      <c r="X55" s="90" t="s">
        <v>703</v>
      </c>
      <c r="Y55" s="90" t="s">
        <v>703</v>
      </c>
      <c r="Z55" s="90" t="s">
        <v>703</v>
      </c>
      <c r="AA55" s="90" t="s">
        <v>703</v>
      </c>
      <c r="AB55" s="90" t="s">
        <v>703</v>
      </c>
      <c r="AC55" s="90" t="s">
        <v>703</v>
      </c>
      <c r="AD55" s="90" t="s">
        <v>703</v>
      </c>
      <c r="AE55" s="90" t="s">
        <v>703</v>
      </c>
      <c r="AF55" s="90" t="s">
        <v>703</v>
      </c>
      <c r="AG55" s="90" t="s">
        <v>703</v>
      </c>
      <c r="AH55" s="90" t="s">
        <v>703</v>
      </c>
      <c r="AI55" s="90" t="s">
        <v>703</v>
      </c>
      <c r="AJ55" s="90" t="s">
        <v>703</v>
      </c>
      <c r="AK55" s="90" t="s">
        <v>703</v>
      </c>
      <c r="AL55" s="90" t="s">
        <v>703</v>
      </c>
      <c r="AM55" s="90">
        <f t="shared" si="15"/>
        <v>0</v>
      </c>
      <c r="AN55" s="90" t="s">
        <v>703</v>
      </c>
      <c r="AO55" s="90" t="s">
        <v>703</v>
      </c>
      <c r="AP55" s="90" t="s">
        <v>703</v>
      </c>
      <c r="AQ55" s="90" t="s">
        <v>703</v>
      </c>
      <c r="AR55" s="90" t="s">
        <v>703</v>
      </c>
      <c r="AS55" s="90" t="s">
        <v>703</v>
      </c>
      <c r="AT55" s="90" t="s">
        <v>703</v>
      </c>
      <c r="AU55" s="90" t="s">
        <v>703</v>
      </c>
      <c r="AV55" s="90" t="s">
        <v>703</v>
      </c>
      <c r="AW55" s="90" t="s">
        <v>703</v>
      </c>
      <c r="AX55" s="90" t="s">
        <v>702</v>
      </c>
      <c r="BA55" t="s">
        <v>2050</v>
      </c>
      <c r="BB55">
        <v>7</v>
      </c>
      <c r="BC55">
        <v>9</v>
      </c>
      <c r="BD55">
        <v>8</v>
      </c>
      <c r="BE55">
        <v>6</v>
      </c>
      <c r="BF55">
        <v>7</v>
      </c>
      <c r="BG55">
        <v>5</v>
      </c>
      <c r="BH55">
        <v>48</v>
      </c>
      <c r="BI55">
        <v>0</v>
      </c>
    </row>
    <row r="56" spans="1:62">
      <c r="A56" t="s">
        <v>1969</v>
      </c>
      <c r="E56" s="90">
        <f t="shared" si="16"/>
        <v>52</v>
      </c>
      <c r="F56" s="90">
        <f t="shared" si="1"/>
        <v>31</v>
      </c>
      <c r="G56" s="90">
        <f t="shared" si="2"/>
        <v>31</v>
      </c>
      <c r="H56" s="90">
        <f t="shared" si="3"/>
        <v>52</v>
      </c>
      <c r="I56" s="90">
        <f t="shared" si="4"/>
        <v>10</v>
      </c>
      <c r="J56" s="90">
        <f t="shared" si="5"/>
        <v>31</v>
      </c>
      <c r="K56" s="242">
        <f t="shared" si="6"/>
        <v>19</v>
      </c>
      <c r="L56" s="90">
        <f t="shared" si="7"/>
        <v>16</v>
      </c>
      <c r="M56" s="90">
        <f t="shared" si="8"/>
        <v>-3</v>
      </c>
      <c r="N56" s="90">
        <v>0</v>
      </c>
      <c r="O56" s="90" t="s">
        <v>702</v>
      </c>
      <c r="P56" s="90">
        <f t="shared" si="9"/>
        <v>25</v>
      </c>
      <c r="Q56" s="90">
        <f t="shared" si="10"/>
        <v>25</v>
      </c>
      <c r="R56" s="90">
        <f t="shared" si="11"/>
        <v>25</v>
      </c>
      <c r="S56" s="90">
        <f t="shared" si="12"/>
        <v>25</v>
      </c>
      <c r="T56" s="90">
        <f t="shared" si="13"/>
        <v>25</v>
      </c>
      <c r="U56" s="90">
        <f t="shared" si="14"/>
        <v>25</v>
      </c>
      <c r="V56" s="90"/>
      <c r="W56" s="90" t="s">
        <v>703</v>
      </c>
      <c r="X56" s="90" t="s">
        <v>703</v>
      </c>
      <c r="Y56" s="90" t="s">
        <v>703</v>
      </c>
      <c r="Z56" s="90" t="s">
        <v>703</v>
      </c>
      <c r="AA56" s="90" t="s">
        <v>703</v>
      </c>
      <c r="AB56" s="90" t="s">
        <v>703</v>
      </c>
      <c r="AC56" s="90" t="s">
        <v>703</v>
      </c>
      <c r="AD56" s="90" t="s">
        <v>703</v>
      </c>
      <c r="AE56" s="90" t="s">
        <v>703</v>
      </c>
      <c r="AF56" s="90" t="s">
        <v>703</v>
      </c>
      <c r="AG56" s="90" t="s">
        <v>703</v>
      </c>
      <c r="AH56" s="90" t="s">
        <v>703</v>
      </c>
      <c r="AI56" s="90" t="s">
        <v>703</v>
      </c>
      <c r="AJ56" s="90" t="s">
        <v>703</v>
      </c>
      <c r="AK56" s="90" t="s">
        <v>703</v>
      </c>
      <c r="AL56" s="90" t="s">
        <v>703</v>
      </c>
      <c r="AM56" s="90" t="str">
        <f t="shared" si="15"/>
        <v>Dragon Powers</v>
      </c>
      <c r="AN56" s="90" t="s">
        <v>703</v>
      </c>
      <c r="AO56" s="90" t="s">
        <v>703</v>
      </c>
      <c r="AP56" s="90" t="s">
        <v>703</v>
      </c>
      <c r="AQ56" s="90" t="s">
        <v>703</v>
      </c>
      <c r="AR56" s="90" t="s">
        <v>703</v>
      </c>
      <c r="AS56" s="90" t="s">
        <v>703</v>
      </c>
      <c r="AT56" s="90" t="s">
        <v>703</v>
      </c>
      <c r="AU56" s="90" t="s">
        <v>703</v>
      </c>
      <c r="AV56" s="90" t="s">
        <v>703</v>
      </c>
      <c r="AW56" s="90" t="s">
        <v>703</v>
      </c>
      <c r="AX56" s="90" t="s">
        <v>702</v>
      </c>
      <c r="BA56" t="s">
        <v>1969</v>
      </c>
      <c r="BB56">
        <v>15</v>
      </c>
      <c r="BC56">
        <v>22</v>
      </c>
      <c r="BD56">
        <v>22</v>
      </c>
      <c r="BE56">
        <v>8</v>
      </c>
      <c r="BF56">
        <v>15</v>
      </c>
      <c r="BG56">
        <v>10</v>
      </c>
      <c r="BH56">
        <v>150</v>
      </c>
      <c r="BI56">
        <v>25</v>
      </c>
      <c r="BJ56" t="s">
        <v>1970</v>
      </c>
    </row>
    <row r="57" spans="1:62">
      <c r="A57" t="s">
        <v>2052</v>
      </c>
      <c r="E57" s="90">
        <f t="shared" si="16"/>
        <v>1</v>
      </c>
      <c r="F57" s="90">
        <f t="shared" si="1"/>
        <v>4</v>
      </c>
      <c r="G57" s="90">
        <f t="shared" si="2"/>
        <v>4</v>
      </c>
      <c r="H57" s="90">
        <f t="shared" si="3"/>
        <v>1</v>
      </c>
      <c r="I57" s="90">
        <f t="shared" si="4"/>
        <v>1</v>
      </c>
      <c r="J57" s="90">
        <f t="shared" si="5"/>
        <v>7</v>
      </c>
      <c r="K57" s="242">
        <f t="shared" si="6"/>
        <v>3</v>
      </c>
      <c r="L57" s="90">
        <f t="shared" si="7"/>
        <v>1</v>
      </c>
      <c r="M57" s="90">
        <f t="shared" si="8"/>
        <v>-6</v>
      </c>
      <c r="N57" s="90">
        <v>0</v>
      </c>
      <c r="O57" s="90" t="s">
        <v>702</v>
      </c>
      <c r="P57" s="90">
        <f t="shared" si="9"/>
        <v>5</v>
      </c>
      <c r="Q57" s="90">
        <f t="shared" si="10"/>
        <v>5</v>
      </c>
      <c r="R57" s="90">
        <f t="shared" si="11"/>
        <v>5</v>
      </c>
      <c r="S57" s="90">
        <f t="shared" si="12"/>
        <v>5</v>
      </c>
      <c r="T57" s="90">
        <f t="shared" si="13"/>
        <v>5</v>
      </c>
      <c r="U57" s="90">
        <f t="shared" si="14"/>
        <v>5</v>
      </c>
      <c r="V57" s="90"/>
      <c r="W57" s="90" t="s">
        <v>703</v>
      </c>
      <c r="X57" s="90" t="s">
        <v>703</v>
      </c>
      <c r="Y57" s="90" t="s">
        <v>703</v>
      </c>
      <c r="Z57" s="90" t="s">
        <v>703</v>
      </c>
      <c r="AA57" s="90" t="s">
        <v>703</v>
      </c>
      <c r="AB57" s="90" t="s">
        <v>703</v>
      </c>
      <c r="AC57" s="90" t="s">
        <v>703</v>
      </c>
      <c r="AD57" s="90" t="s">
        <v>703</v>
      </c>
      <c r="AE57" s="90" t="s">
        <v>703</v>
      </c>
      <c r="AF57" s="90" t="s">
        <v>703</v>
      </c>
      <c r="AG57" s="90" t="s">
        <v>703</v>
      </c>
      <c r="AH57" s="90" t="s">
        <v>703</v>
      </c>
      <c r="AI57" s="90" t="s">
        <v>703</v>
      </c>
      <c r="AJ57" s="90" t="s">
        <v>703</v>
      </c>
      <c r="AK57" s="90" t="s">
        <v>703</v>
      </c>
      <c r="AL57" s="90" t="s">
        <v>703</v>
      </c>
      <c r="AM57" s="90" t="str">
        <f t="shared" si="15"/>
        <v>Ice Shackles</v>
      </c>
      <c r="AN57" s="90" t="s">
        <v>703</v>
      </c>
      <c r="AO57" s="90" t="s">
        <v>703</v>
      </c>
      <c r="AP57" s="90" t="s">
        <v>703</v>
      </c>
      <c r="AQ57" s="90" t="s">
        <v>703</v>
      </c>
      <c r="AR57" s="90" t="s">
        <v>703</v>
      </c>
      <c r="AS57" s="90" t="s">
        <v>703</v>
      </c>
      <c r="AT57" s="90" t="s">
        <v>703</v>
      </c>
      <c r="AU57" s="90" t="s">
        <v>703</v>
      </c>
      <c r="AV57" s="90" t="s">
        <v>703</v>
      </c>
      <c r="AW57" s="90" t="s">
        <v>703</v>
      </c>
      <c r="AX57" s="90" t="s">
        <v>702</v>
      </c>
      <c r="BA57" t="s">
        <v>2052</v>
      </c>
      <c r="BB57">
        <v>6</v>
      </c>
      <c r="BC57">
        <v>5</v>
      </c>
      <c r="BD57">
        <v>5</v>
      </c>
      <c r="BE57">
        <v>5</v>
      </c>
      <c r="BF57">
        <v>7</v>
      </c>
      <c r="BG57">
        <v>5</v>
      </c>
      <c r="BH57">
        <v>38</v>
      </c>
      <c r="BI57">
        <v>5</v>
      </c>
      <c r="BJ57" t="s">
        <v>1449</v>
      </c>
    </row>
    <row r="58" spans="1:62">
      <c r="A58" t="s">
        <v>1481</v>
      </c>
      <c r="E58" s="90">
        <f t="shared" si="16"/>
        <v>7</v>
      </c>
      <c r="F58" s="90">
        <f t="shared" si="1"/>
        <v>7</v>
      </c>
      <c r="G58" s="90">
        <f t="shared" si="2"/>
        <v>7</v>
      </c>
      <c r="H58" s="90">
        <f t="shared" si="3"/>
        <v>4</v>
      </c>
      <c r="I58" s="90">
        <f t="shared" si="4"/>
        <v>1</v>
      </c>
      <c r="J58" s="90">
        <f t="shared" si="5"/>
        <v>-2</v>
      </c>
      <c r="K58" s="242">
        <f t="shared" si="6"/>
        <v>-1</v>
      </c>
      <c r="L58" s="90">
        <f t="shared" si="7"/>
        <v>-2</v>
      </c>
      <c r="M58" s="90">
        <f t="shared" si="8"/>
        <v>-6</v>
      </c>
      <c r="N58" s="90">
        <v>0</v>
      </c>
      <c r="O58" s="90" t="s">
        <v>702</v>
      </c>
      <c r="P58" s="90">
        <f t="shared" si="9"/>
        <v>0</v>
      </c>
      <c r="Q58" s="90">
        <f t="shared" si="10"/>
        <v>0</v>
      </c>
      <c r="R58" s="90">
        <f t="shared" si="11"/>
        <v>0</v>
      </c>
      <c r="S58" s="90">
        <f t="shared" si="12"/>
        <v>0</v>
      </c>
      <c r="T58" s="90">
        <f t="shared" si="13"/>
        <v>0</v>
      </c>
      <c r="U58" s="90">
        <f t="shared" si="14"/>
        <v>0</v>
      </c>
      <c r="V58" s="90"/>
      <c r="W58" s="90" t="s">
        <v>703</v>
      </c>
      <c r="X58" s="90" t="s">
        <v>703</v>
      </c>
      <c r="Y58" s="90" t="s">
        <v>703</v>
      </c>
      <c r="Z58" s="90" t="s">
        <v>703</v>
      </c>
      <c r="AA58" s="90" t="s">
        <v>703</v>
      </c>
      <c r="AB58" s="90" t="s">
        <v>703</v>
      </c>
      <c r="AC58" s="90" t="s">
        <v>703</v>
      </c>
      <c r="AD58" s="90" t="s">
        <v>703</v>
      </c>
      <c r="AE58" s="90" t="s">
        <v>703</v>
      </c>
      <c r="AF58" s="90" t="s">
        <v>703</v>
      </c>
      <c r="AG58" s="90" t="s">
        <v>703</v>
      </c>
      <c r="AH58" s="90" t="s">
        <v>703</v>
      </c>
      <c r="AI58" s="90" t="s">
        <v>703</v>
      </c>
      <c r="AJ58" s="90" t="s">
        <v>703</v>
      </c>
      <c r="AK58" s="90" t="s">
        <v>703</v>
      </c>
      <c r="AL58" s="90" t="s">
        <v>703</v>
      </c>
      <c r="AM58" s="90">
        <f t="shared" si="15"/>
        <v>0</v>
      </c>
      <c r="AN58" s="90" t="s">
        <v>703</v>
      </c>
      <c r="AO58" s="90" t="s">
        <v>703</v>
      </c>
      <c r="AP58" s="90" t="s">
        <v>703</v>
      </c>
      <c r="AQ58" s="90" t="s">
        <v>703</v>
      </c>
      <c r="AR58" s="90" t="s">
        <v>703</v>
      </c>
      <c r="AS58" s="90" t="s">
        <v>703</v>
      </c>
      <c r="AT58" s="90" t="s">
        <v>703</v>
      </c>
      <c r="AU58" s="90" t="s">
        <v>703</v>
      </c>
      <c r="AV58" s="90" t="s">
        <v>703</v>
      </c>
      <c r="AW58" s="90" t="s">
        <v>703</v>
      </c>
      <c r="AX58" s="90" t="s">
        <v>702</v>
      </c>
      <c r="BA58" t="s">
        <v>1481</v>
      </c>
      <c r="BB58">
        <v>7</v>
      </c>
      <c r="BC58">
        <v>7</v>
      </c>
      <c r="BD58">
        <v>6</v>
      </c>
      <c r="BE58">
        <v>5</v>
      </c>
      <c r="BF58">
        <v>4</v>
      </c>
      <c r="BG58">
        <v>4</v>
      </c>
    </row>
    <row r="59" spans="1:62">
      <c r="A59" t="s">
        <v>1454</v>
      </c>
      <c r="E59" s="90">
        <f t="shared" si="16"/>
        <v>1</v>
      </c>
      <c r="F59" s="90">
        <f t="shared" si="1"/>
        <v>1</v>
      </c>
      <c r="G59" s="90">
        <f t="shared" si="2"/>
        <v>1</v>
      </c>
      <c r="H59" s="90">
        <f t="shared" si="3"/>
        <v>7</v>
      </c>
      <c r="I59" s="90">
        <f t="shared" si="4"/>
        <v>10</v>
      </c>
      <c r="J59" s="90">
        <f t="shared" si="5"/>
        <v>13</v>
      </c>
      <c r="K59" s="242">
        <f t="shared" si="6"/>
        <v>8</v>
      </c>
      <c r="L59" s="90">
        <f t="shared" si="7"/>
        <v>1</v>
      </c>
      <c r="M59" s="90">
        <f t="shared" si="8"/>
        <v>-3</v>
      </c>
      <c r="N59" s="90">
        <v>0</v>
      </c>
      <c r="O59" s="90" t="s">
        <v>702</v>
      </c>
      <c r="P59" s="90">
        <f t="shared" si="9"/>
        <v>8</v>
      </c>
      <c r="Q59" s="90">
        <f t="shared" si="10"/>
        <v>8</v>
      </c>
      <c r="R59" s="90">
        <f t="shared" si="11"/>
        <v>8</v>
      </c>
      <c r="S59" s="90">
        <f t="shared" si="12"/>
        <v>8</v>
      </c>
      <c r="T59" s="90">
        <f t="shared" si="13"/>
        <v>8</v>
      </c>
      <c r="U59" s="90">
        <f t="shared" si="14"/>
        <v>8</v>
      </c>
      <c r="V59" s="90"/>
      <c r="W59" s="90" t="s">
        <v>703</v>
      </c>
      <c r="X59" s="90" t="s">
        <v>703</v>
      </c>
      <c r="Y59" s="90" t="s">
        <v>703</v>
      </c>
      <c r="Z59" s="90" t="s">
        <v>703</v>
      </c>
      <c r="AA59" s="90" t="s">
        <v>703</v>
      </c>
      <c r="AB59" s="90" t="s">
        <v>703</v>
      </c>
      <c r="AC59" s="90" t="s">
        <v>703</v>
      </c>
      <c r="AD59" s="90" t="s">
        <v>703</v>
      </c>
      <c r="AE59" s="90" t="s">
        <v>703</v>
      </c>
      <c r="AF59" s="90" t="s">
        <v>703</v>
      </c>
      <c r="AG59" s="90" t="s">
        <v>703</v>
      </c>
      <c r="AH59" s="90" t="s">
        <v>703</v>
      </c>
      <c r="AI59" s="90" t="s">
        <v>703</v>
      </c>
      <c r="AJ59" s="90" t="s">
        <v>703</v>
      </c>
      <c r="AK59" s="90" t="s">
        <v>703</v>
      </c>
      <c r="AL59" s="90" t="s">
        <v>703</v>
      </c>
      <c r="AM59" s="90">
        <f t="shared" si="15"/>
        <v>0</v>
      </c>
      <c r="AN59" s="90" t="s">
        <v>703</v>
      </c>
      <c r="AO59" s="90" t="s">
        <v>703</v>
      </c>
      <c r="AP59" s="90" t="s">
        <v>703</v>
      </c>
      <c r="AQ59" s="90" t="s">
        <v>703</v>
      </c>
      <c r="AR59" s="90" t="s">
        <v>703</v>
      </c>
      <c r="AS59" s="90" t="s">
        <v>703</v>
      </c>
      <c r="AT59" s="90" t="s">
        <v>703</v>
      </c>
      <c r="AU59" s="90" t="s">
        <v>703</v>
      </c>
      <c r="AV59" s="90" t="s">
        <v>703</v>
      </c>
      <c r="AW59" s="90" t="s">
        <v>703</v>
      </c>
      <c r="AX59" s="90" t="s">
        <v>702</v>
      </c>
      <c r="BA59" t="s">
        <v>1454</v>
      </c>
      <c r="BB59">
        <v>5</v>
      </c>
      <c r="BC59">
        <v>5</v>
      </c>
      <c r="BD59">
        <v>7</v>
      </c>
      <c r="BE59">
        <v>8</v>
      </c>
      <c r="BF59">
        <v>9</v>
      </c>
      <c r="BG59">
        <v>5</v>
      </c>
      <c r="BH59">
        <v>55</v>
      </c>
      <c r="BI59">
        <v>8</v>
      </c>
    </row>
    <row r="60" spans="1:62">
      <c r="A60" t="s">
        <v>2099</v>
      </c>
      <c r="E60" s="90">
        <f t="shared" si="16"/>
        <v>46</v>
      </c>
      <c r="F60" s="90">
        <f t="shared" si="1"/>
        <v>16</v>
      </c>
      <c r="G60" s="90">
        <f t="shared" si="2"/>
        <v>16</v>
      </c>
      <c r="H60" s="90">
        <f t="shared" si="3"/>
        <v>37</v>
      </c>
      <c r="I60" s="90">
        <f t="shared" si="4"/>
        <v>7</v>
      </c>
      <c r="J60" s="90">
        <f t="shared" si="5"/>
        <v>10</v>
      </c>
      <c r="K60" s="242">
        <f t="shared" si="6"/>
        <v>9</v>
      </c>
      <c r="L60" s="90">
        <f t="shared" si="7"/>
        <v>10</v>
      </c>
      <c r="M60" s="90">
        <f t="shared" si="8"/>
        <v>-4</v>
      </c>
      <c r="N60" s="90">
        <v>0</v>
      </c>
      <c r="O60" s="90" t="s">
        <v>702</v>
      </c>
      <c r="P60" s="90">
        <f t="shared" si="9"/>
        <v>12</v>
      </c>
      <c r="Q60" s="90">
        <f t="shared" si="10"/>
        <v>12</v>
      </c>
      <c r="R60" s="90">
        <f t="shared" si="11"/>
        <v>12</v>
      </c>
      <c r="S60" s="90">
        <f t="shared" si="12"/>
        <v>12</v>
      </c>
      <c r="T60" s="90">
        <f t="shared" si="13"/>
        <v>12</v>
      </c>
      <c r="U60" s="90">
        <f t="shared" si="14"/>
        <v>12</v>
      </c>
      <c r="V60" s="90"/>
      <c r="W60" s="90" t="s">
        <v>703</v>
      </c>
      <c r="X60" s="90" t="s">
        <v>703</v>
      </c>
      <c r="Y60" s="90" t="s">
        <v>703</v>
      </c>
      <c r="Z60" s="90" t="s">
        <v>703</v>
      </c>
      <c r="AA60" s="90" t="s">
        <v>703</v>
      </c>
      <c r="AB60" s="90" t="s">
        <v>703</v>
      </c>
      <c r="AC60" s="90" t="s">
        <v>703</v>
      </c>
      <c r="AD60" s="90" t="s">
        <v>703</v>
      </c>
      <c r="AE60" s="90" t="s">
        <v>703</v>
      </c>
      <c r="AF60" s="90" t="s">
        <v>703</v>
      </c>
      <c r="AG60" s="90" t="s">
        <v>703</v>
      </c>
      <c r="AH60" s="90" t="s">
        <v>703</v>
      </c>
      <c r="AI60" s="90" t="s">
        <v>703</v>
      </c>
      <c r="AJ60" s="90" t="s">
        <v>703</v>
      </c>
      <c r="AK60" s="90" t="s">
        <v>703</v>
      </c>
      <c r="AL60" s="90" t="s">
        <v>703</v>
      </c>
      <c r="AM60" s="90" t="str">
        <f t="shared" si="15"/>
        <v>Poison</v>
      </c>
      <c r="AN60" s="90" t="s">
        <v>703</v>
      </c>
      <c r="AO60" s="90" t="s">
        <v>703</v>
      </c>
      <c r="AP60" s="90" t="s">
        <v>703</v>
      </c>
      <c r="AQ60" s="90" t="s">
        <v>703</v>
      </c>
      <c r="AR60" s="90" t="s">
        <v>703</v>
      </c>
      <c r="AS60" s="90" t="s">
        <v>703</v>
      </c>
      <c r="AT60" s="90" t="s">
        <v>703</v>
      </c>
      <c r="AU60" s="90" t="s">
        <v>703</v>
      </c>
      <c r="AV60" s="90" t="s">
        <v>703</v>
      </c>
      <c r="AW60" s="90" t="s">
        <v>703</v>
      </c>
      <c r="AX60" s="90" t="s">
        <v>702</v>
      </c>
      <c r="BA60" t="s">
        <v>2099</v>
      </c>
      <c r="BB60">
        <v>10</v>
      </c>
      <c r="BC60">
        <v>20</v>
      </c>
      <c r="BD60">
        <v>17</v>
      </c>
      <c r="BE60">
        <v>7</v>
      </c>
      <c r="BF60">
        <v>8</v>
      </c>
      <c r="BG60">
        <v>8</v>
      </c>
      <c r="BH60">
        <v>300</v>
      </c>
      <c r="BI60">
        <v>12</v>
      </c>
      <c r="BJ60" t="s">
        <v>2368</v>
      </c>
    </row>
    <row r="61" spans="1:62">
      <c r="A61" t="s">
        <v>1364</v>
      </c>
      <c r="E61" s="90">
        <f t="shared" si="16"/>
        <v>16</v>
      </c>
      <c r="F61" s="90">
        <f t="shared" si="1"/>
        <v>13</v>
      </c>
      <c r="G61" s="90">
        <f t="shared" si="2"/>
        <v>13</v>
      </c>
      <c r="H61" s="90">
        <f t="shared" si="3"/>
        <v>13</v>
      </c>
      <c r="I61" s="90">
        <f t="shared" si="4"/>
        <v>13</v>
      </c>
      <c r="J61" s="90">
        <f t="shared" si="5"/>
        <v>19</v>
      </c>
      <c r="K61" s="242">
        <f t="shared" si="6"/>
        <v>12</v>
      </c>
      <c r="L61" s="90">
        <f t="shared" si="7"/>
        <v>4</v>
      </c>
      <c r="M61" s="90">
        <f t="shared" si="8"/>
        <v>-2</v>
      </c>
      <c r="N61" s="90">
        <v>0</v>
      </c>
      <c r="O61" s="90" t="s">
        <v>702</v>
      </c>
      <c r="P61" s="90">
        <f t="shared" si="9"/>
        <v>8</v>
      </c>
      <c r="Q61" s="90">
        <f t="shared" si="10"/>
        <v>8</v>
      </c>
      <c r="R61" s="90">
        <f t="shared" si="11"/>
        <v>8</v>
      </c>
      <c r="S61" s="90">
        <f t="shared" si="12"/>
        <v>8</v>
      </c>
      <c r="T61" s="90">
        <f t="shared" si="13"/>
        <v>8</v>
      </c>
      <c r="U61" s="90">
        <f t="shared" si="14"/>
        <v>8</v>
      </c>
      <c r="V61" s="90"/>
      <c r="W61" s="90" t="s">
        <v>703</v>
      </c>
      <c r="X61" s="90" t="s">
        <v>703</v>
      </c>
      <c r="Y61" s="90" t="s">
        <v>703</v>
      </c>
      <c r="Z61" s="90" t="s">
        <v>703</v>
      </c>
      <c r="AA61" s="90" t="s">
        <v>703</v>
      </c>
      <c r="AB61" s="90" t="s">
        <v>703</v>
      </c>
      <c r="AC61" s="90" t="s">
        <v>703</v>
      </c>
      <c r="AD61" s="90" t="s">
        <v>703</v>
      </c>
      <c r="AE61" s="90" t="s">
        <v>703</v>
      </c>
      <c r="AF61" s="90" t="s">
        <v>703</v>
      </c>
      <c r="AG61" s="90" t="s">
        <v>703</v>
      </c>
      <c r="AH61" s="90" t="s">
        <v>703</v>
      </c>
      <c r="AI61" s="90" t="s">
        <v>703</v>
      </c>
      <c r="AJ61" s="90" t="s">
        <v>703</v>
      </c>
      <c r="AK61" s="90" t="s">
        <v>703</v>
      </c>
      <c r="AL61" s="90" t="s">
        <v>703</v>
      </c>
      <c r="AM61" s="90">
        <f t="shared" si="15"/>
        <v>0</v>
      </c>
      <c r="AN61" s="90" t="s">
        <v>703</v>
      </c>
      <c r="AO61" s="90" t="s">
        <v>703</v>
      </c>
      <c r="AP61" s="90" t="s">
        <v>703</v>
      </c>
      <c r="AQ61" s="90" t="s">
        <v>703</v>
      </c>
      <c r="AR61" s="90" t="s">
        <v>703</v>
      </c>
      <c r="AS61" s="90" t="s">
        <v>703</v>
      </c>
      <c r="AT61" s="90" t="s">
        <v>703</v>
      </c>
      <c r="AU61" s="90" t="s">
        <v>703</v>
      </c>
      <c r="AV61" s="90" t="s">
        <v>703</v>
      </c>
      <c r="AW61" s="90" t="s">
        <v>703</v>
      </c>
      <c r="AX61" s="90" t="s">
        <v>702</v>
      </c>
      <c r="BA61" t="s">
        <v>1364</v>
      </c>
      <c r="BB61">
        <v>9</v>
      </c>
      <c r="BC61">
        <v>10</v>
      </c>
      <c r="BD61">
        <v>9</v>
      </c>
      <c r="BE61">
        <v>9</v>
      </c>
      <c r="BF61">
        <v>11</v>
      </c>
      <c r="BG61">
        <v>6</v>
      </c>
      <c r="BH61">
        <v>47</v>
      </c>
      <c r="BI61">
        <v>8</v>
      </c>
    </row>
    <row r="62" spans="1:62">
      <c r="A62" t="s">
        <v>2120</v>
      </c>
      <c r="E62" s="90">
        <f t="shared" si="16"/>
        <v>28</v>
      </c>
      <c r="F62" s="90">
        <f t="shared" si="1"/>
        <v>16</v>
      </c>
      <c r="G62" s="90">
        <f t="shared" si="2"/>
        <v>16</v>
      </c>
      <c r="H62" s="90">
        <f t="shared" si="3"/>
        <v>22</v>
      </c>
      <c r="I62" s="90">
        <f t="shared" si="4"/>
        <v>10</v>
      </c>
      <c r="J62" s="90">
        <f t="shared" si="5"/>
        <v>10</v>
      </c>
      <c r="K62" s="242">
        <f t="shared" si="6"/>
        <v>9</v>
      </c>
      <c r="L62" s="90">
        <f t="shared" si="7"/>
        <v>7</v>
      </c>
      <c r="M62" s="90">
        <f t="shared" si="8"/>
        <v>-3</v>
      </c>
      <c r="N62" s="90">
        <v>0</v>
      </c>
      <c r="O62" s="90" t="s">
        <v>702</v>
      </c>
      <c r="P62" s="90">
        <f t="shared" si="9"/>
        <v>8</v>
      </c>
      <c r="Q62" s="90">
        <f t="shared" si="10"/>
        <v>8</v>
      </c>
      <c r="R62" s="90">
        <f t="shared" si="11"/>
        <v>8</v>
      </c>
      <c r="S62" s="90">
        <f t="shared" si="12"/>
        <v>8</v>
      </c>
      <c r="T62" s="90">
        <f t="shared" si="13"/>
        <v>8</v>
      </c>
      <c r="U62" s="90">
        <f t="shared" si="14"/>
        <v>8</v>
      </c>
      <c r="V62" s="90"/>
      <c r="W62" s="90" t="s">
        <v>703</v>
      </c>
      <c r="X62" s="90" t="s">
        <v>703</v>
      </c>
      <c r="Y62" s="90" t="s">
        <v>703</v>
      </c>
      <c r="Z62" s="90" t="s">
        <v>703</v>
      </c>
      <c r="AA62" s="90" t="s">
        <v>703</v>
      </c>
      <c r="AB62" s="90" t="s">
        <v>703</v>
      </c>
      <c r="AC62" s="90" t="s">
        <v>703</v>
      </c>
      <c r="AD62" s="90" t="s">
        <v>703</v>
      </c>
      <c r="AE62" s="90" t="s">
        <v>703</v>
      </c>
      <c r="AF62" s="90" t="s">
        <v>703</v>
      </c>
      <c r="AG62" s="90" t="s">
        <v>703</v>
      </c>
      <c r="AH62" s="90" t="s">
        <v>703</v>
      </c>
      <c r="AI62" s="90" t="s">
        <v>703</v>
      </c>
      <c r="AJ62" s="90" t="s">
        <v>703</v>
      </c>
      <c r="AK62" s="90" t="s">
        <v>703</v>
      </c>
      <c r="AL62" s="90" t="s">
        <v>703</v>
      </c>
      <c r="AM62" s="90">
        <f t="shared" si="15"/>
        <v>0</v>
      </c>
      <c r="AN62" s="90" t="s">
        <v>703</v>
      </c>
      <c r="AO62" s="90" t="s">
        <v>703</v>
      </c>
      <c r="AP62" s="90" t="s">
        <v>703</v>
      </c>
      <c r="AQ62" s="90" t="s">
        <v>703</v>
      </c>
      <c r="AR62" s="90" t="s">
        <v>703</v>
      </c>
      <c r="AS62" s="90" t="s">
        <v>703</v>
      </c>
      <c r="AT62" s="90" t="s">
        <v>703</v>
      </c>
      <c r="AU62" s="90" t="s">
        <v>703</v>
      </c>
      <c r="AV62" s="90" t="s">
        <v>703</v>
      </c>
      <c r="AW62" s="90" t="s">
        <v>703</v>
      </c>
      <c r="AX62" s="90" t="s">
        <v>702</v>
      </c>
      <c r="BA62" t="s">
        <v>2120</v>
      </c>
      <c r="BB62">
        <v>10</v>
      </c>
      <c r="BC62">
        <v>14</v>
      </c>
      <c r="BD62">
        <v>12</v>
      </c>
      <c r="BE62">
        <v>8</v>
      </c>
      <c r="BF62">
        <v>8</v>
      </c>
      <c r="BG62">
        <v>7</v>
      </c>
      <c r="BH62">
        <v>70</v>
      </c>
      <c r="BI62">
        <v>8</v>
      </c>
    </row>
    <row r="63" spans="1:62">
      <c r="A63" t="s">
        <v>1455</v>
      </c>
      <c r="E63" s="90">
        <f t="shared" si="16"/>
        <v>1</v>
      </c>
      <c r="F63" s="90">
        <f t="shared" si="1"/>
        <v>1</v>
      </c>
      <c r="G63" s="90">
        <f t="shared" si="2"/>
        <v>1</v>
      </c>
      <c r="H63" s="90">
        <f t="shared" si="3"/>
        <v>1</v>
      </c>
      <c r="I63" s="90">
        <f t="shared" si="4"/>
        <v>4</v>
      </c>
      <c r="J63" s="90">
        <f t="shared" si="5"/>
        <v>7</v>
      </c>
      <c r="K63" s="242">
        <f t="shared" si="6"/>
        <v>0</v>
      </c>
      <c r="L63" s="90">
        <f t="shared" si="7"/>
        <v>-11</v>
      </c>
      <c r="M63" s="90">
        <f t="shared" si="8"/>
        <v>-5</v>
      </c>
      <c r="N63" s="90">
        <v>0</v>
      </c>
      <c r="O63" s="90" t="s">
        <v>702</v>
      </c>
      <c r="P63" s="90">
        <f t="shared" si="9"/>
        <v>0</v>
      </c>
      <c r="Q63" s="90">
        <f t="shared" si="10"/>
        <v>0</v>
      </c>
      <c r="R63" s="90">
        <f t="shared" si="11"/>
        <v>0</v>
      </c>
      <c r="S63" s="90">
        <f t="shared" si="12"/>
        <v>0</v>
      </c>
      <c r="T63" s="90">
        <f t="shared" si="13"/>
        <v>0</v>
      </c>
      <c r="U63" s="90">
        <f t="shared" si="14"/>
        <v>0</v>
      </c>
      <c r="V63" s="90"/>
      <c r="W63" s="90" t="s">
        <v>703</v>
      </c>
      <c r="X63" s="90" t="s">
        <v>703</v>
      </c>
      <c r="Y63" s="90" t="s">
        <v>703</v>
      </c>
      <c r="Z63" s="90" t="s">
        <v>703</v>
      </c>
      <c r="AA63" s="90" t="s">
        <v>703</v>
      </c>
      <c r="AB63" s="90" t="s">
        <v>703</v>
      </c>
      <c r="AC63" s="90" t="s">
        <v>703</v>
      </c>
      <c r="AD63" s="90" t="s">
        <v>703</v>
      </c>
      <c r="AE63" s="90" t="s">
        <v>703</v>
      </c>
      <c r="AF63" s="90" t="s">
        <v>703</v>
      </c>
      <c r="AG63" s="90" t="s">
        <v>703</v>
      </c>
      <c r="AH63" s="90" t="s">
        <v>703</v>
      </c>
      <c r="AI63" s="90" t="s">
        <v>703</v>
      </c>
      <c r="AJ63" s="90" t="s">
        <v>703</v>
      </c>
      <c r="AK63" s="90" t="s">
        <v>703</v>
      </c>
      <c r="AL63" s="90" t="s">
        <v>703</v>
      </c>
      <c r="AM63" s="90">
        <f t="shared" si="15"/>
        <v>0</v>
      </c>
      <c r="AN63" s="90" t="s">
        <v>703</v>
      </c>
      <c r="AO63" s="90" t="s">
        <v>703</v>
      </c>
      <c r="AP63" s="90" t="s">
        <v>703</v>
      </c>
      <c r="AQ63" s="90" t="s">
        <v>703</v>
      </c>
      <c r="AR63" s="90" t="s">
        <v>703</v>
      </c>
      <c r="AS63" s="90" t="s">
        <v>703</v>
      </c>
      <c r="AT63" s="90" t="s">
        <v>703</v>
      </c>
      <c r="AU63" s="90" t="s">
        <v>703</v>
      </c>
      <c r="AV63" s="90" t="s">
        <v>703</v>
      </c>
      <c r="AW63" s="90" t="s">
        <v>703</v>
      </c>
      <c r="AX63" s="90" t="s">
        <v>702</v>
      </c>
      <c r="BA63" t="s">
        <v>1455</v>
      </c>
      <c r="BB63">
        <v>5</v>
      </c>
      <c r="BC63">
        <v>5</v>
      </c>
      <c r="BD63">
        <v>5</v>
      </c>
      <c r="BE63">
        <v>6</v>
      </c>
      <c r="BF63">
        <v>7</v>
      </c>
      <c r="BG63">
        <v>1</v>
      </c>
      <c r="BH63">
        <v>30</v>
      </c>
      <c r="BI63">
        <v>0</v>
      </c>
    </row>
    <row r="64" spans="1:62">
      <c r="A64" t="s">
        <v>2121</v>
      </c>
      <c r="E64" s="90">
        <f t="shared" si="16"/>
        <v>-5</v>
      </c>
      <c r="F64" s="90">
        <f t="shared" si="1"/>
        <v>1</v>
      </c>
      <c r="G64" s="90">
        <f t="shared" si="2"/>
        <v>1</v>
      </c>
      <c r="H64" s="90">
        <f t="shared" si="3"/>
        <v>-5</v>
      </c>
      <c r="I64" s="90">
        <f t="shared" si="4"/>
        <v>1</v>
      </c>
      <c r="J64" s="90">
        <f t="shared" si="5"/>
        <v>-2</v>
      </c>
      <c r="K64" s="242">
        <f t="shared" si="6"/>
        <v>-1</v>
      </c>
      <c r="L64" s="90">
        <f t="shared" si="7"/>
        <v>-2</v>
      </c>
      <c r="M64" s="90">
        <f t="shared" si="8"/>
        <v>-6</v>
      </c>
      <c r="N64" s="90">
        <v>0</v>
      </c>
      <c r="O64" s="90" t="s">
        <v>702</v>
      </c>
      <c r="P64" s="90">
        <f t="shared" si="9"/>
        <v>0</v>
      </c>
      <c r="Q64" s="90">
        <f t="shared" si="10"/>
        <v>0</v>
      </c>
      <c r="R64" s="90">
        <f t="shared" si="11"/>
        <v>0</v>
      </c>
      <c r="S64" s="90">
        <f t="shared" si="12"/>
        <v>0</v>
      </c>
      <c r="T64" s="90">
        <f t="shared" si="13"/>
        <v>0</v>
      </c>
      <c r="U64" s="90">
        <f t="shared" si="14"/>
        <v>0</v>
      </c>
      <c r="V64" s="90"/>
      <c r="W64" s="90" t="s">
        <v>703</v>
      </c>
      <c r="X64" s="90" t="s">
        <v>703</v>
      </c>
      <c r="Y64" s="90" t="s">
        <v>703</v>
      </c>
      <c r="Z64" s="90" t="s">
        <v>703</v>
      </c>
      <c r="AA64" s="90" t="s">
        <v>703</v>
      </c>
      <c r="AB64" s="90" t="s">
        <v>703</v>
      </c>
      <c r="AC64" s="90" t="s">
        <v>703</v>
      </c>
      <c r="AD64" s="90" t="s">
        <v>703</v>
      </c>
      <c r="AE64" s="90" t="s">
        <v>703</v>
      </c>
      <c r="AF64" s="90" t="s">
        <v>703</v>
      </c>
      <c r="AG64" s="90" t="s">
        <v>703</v>
      </c>
      <c r="AH64" s="90" t="s">
        <v>703</v>
      </c>
      <c r="AI64" s="90" t="s">
        <v>703</v>
      </c>
      <c r="AJ64" s="90" t="s">
        <v>703</v>
      </c>
      <c r="AK64" s="90" t="s">
        <v>703</v>
      </c>
      <c r="AL64" s="90" t="s">
        <v>703</v>
      </c>
      <c r="AM64" s="90" t="str">
        <f t="shared" si="15"/>
        <v>Passive Scent, Enraging Scent</v>
      </c>
      <c r="AN64" s="90" t="s">
        <v>703</v>
      </c>
      <c r="AO64" s="90" t="s">
        <v>703</v>
      </c>
      <c r="AP64" s="90" t="s">
        <v>703</v>
      </c>
      <c r="AQ64" s="90" t="s">
        <v>703</v>
      </c>
      <c r="AR64" s="90" t="s">
        <v>703</v>
      </c>
      <c r="AS64" s="90" t="s">
        <v>703</v>
      </c>
      <c r="AT64" s="90" t="s">
        <v>703</v>
      </c>
      <c r="AU64" s="90" t="s">
        <v>703</v>
      </c>
      <c r="AV64" s="90" t="s">
        <v>703</v>
      </c>
      <c r="AW64" s="90" t="s">
        <v>703</v>
      </c>
      <c r="AX64" s="90" t="s">
        <v>702</v>
      </c>
      <c r="BA64" t="s">
        <v>2121</v>
      </c>
      <c r="BB64">
        <v>5</v>
      </c>
      <c r="BC64">
        <v>3</v>
      </c>
      <c r="BD64">
        <v>3</v>
      </c>
      <c r="BE64">
        <v>5</v>
      </c>
      <c r="BF64">
        <v>4</v>
      </c>
      <c r="BG64">
        <v>4</v>
      </c>
      <c r="BH64">
        <v>20</v>
      </c>
      <c r="BI64">
        <v>0</v>
      </c>
      <c r="BJ64" t="s">
        <v>1769</v>
      </c>
    </row>
    <row r="65" spans="1:62">
      <c r="A65" t="s">
        <v>1030</v>
      </c>
      <c r="E65" s="90">
        <f t="shared" si="16"/>
        <v>1</v>
      </c>
      <c r="F65" s="90">
        <f t="shared" si="1"/>
        <v>4</v>
      </c>
      <c r="G65" s="90">
        <f t="shared" si="2"/>
        <v>4</v>
      </c>
      <c r="H65" s="90">
        <f t="shared" si="3"/>
        <v>-2</v>
      </c>
      <c r="I65" s="90">
        <f t="shared" si="4"/>
        <v>-5</v>
      </c>
      <c r="J65" s="90">
        <f t="shared" si="5"/>
        <v>1</v>
      </c>
      <c r="K65" s="242">
        <f t="shared" si="6"/>
        <v>-3</v>
      </c>
      <c r="L65" s="90">
        <f t="shared" si="7"/>
        <v>-5</v>
      </c>
      <c r="M65" s="90">
        <f t="shared" si="8"/>
        <v>-8</v>
      </c>
      <c r="N65" s="90">
        <v>0</v>
      </c>
      <c r="O65" s="90" t="s">
        <v>702</v>
      </c>
      <c r="P65" s="90">
        <f t="shared" si="9"/>
        <v>0</v>
      </c>
      <c r="Q65" s="90">
        <f t="shared" si="10"/>
        <v>0</v>
      </c>
      <c r="R65" s="90">
        <f t="shared" si="11"/>
        <v>0</v>
      </c>
      <c r="S65" s="90">
        <f t="shared" si="12"/>
        <v>0</v>
      </c>
      <c r="T65" s="90">
        <f t="shared" si="13"/>
        <v>0</v>
      </c>
      <c r="U65" s="90">
        <f t="shared" si="14"/>
        <v>0</v>
      </c>
      <c r="V65" s="90"/>
      <c r="W65" s="90" t="s">
        <v>703</v>
      </c>
      <c r="X65" s="90" t="s">
        <v>703</v>
      </c>
      <c r="Y65" s="90" t="s">
        <v>703</v>
      </c>
      <c r="Z65" s="90" t="s">
        <v>703</v>
      </c>
      <c r="AA65" s="90" t="s">
        <v>703</v>
      </c>
      <c r="AB65" s="90" t="s">
        <v>703</v>
      </c>
      <c r="AC65" s="90" t="s">
        <v>703</v>
      </c>
      <c r="AD65" s="90" t="s">
        <v>703</v>
      </c>
      <c r="AE65" s="90" t="s">
        <v>703</v>
      </c>
      <c r="AF65" s="90" t="s">
        <v>703</v>
      </c>
      <c r="AG65" s="90" t="s">
        <v>703</v>
      </c>
      <c r="AH65" s="90" t="s">
        <v>703</v>
      </c>
      <c r="AI65" s="90" t="s">
        <v>703</v>
      </c>
      <c r="AJ65" s="90" t="s">
        <v>703</v>
      </c>
      <c r="AK65" s="90" t="s">
        <v>703</v>
      </c>
      <c r="AL65" s="90" t="s">
        <v>703</v>
      </c>
      <c r="AM65" s="90">
        <f t="shared" si="15"/>
        <v>0</v>
      </c>
      <c r="AN65" s="90" t="s">
        <v>703</v>
      </c>
      <c r="AO65" s="90" t="s">
        <v>703</v>
      </c>
      <c r="AP65" s="90" t="s">
        <v>703</v>
      </c>
      <c r="AQ65" s="90" t="s">
        <v>703</v>
      </c>
      <c r="AR65" s="90" t="s">
        <v>703</v>
      </c>
      <c r="AS65" s="90" t="s">
        <v>703</v>
      </c>
      <c r="AT65" s="90" t="s">
        <v>703</v>
      </c>
      <c r="AU65" s="90" t="s">
        <v>703</v>
      </c>
      <c r="AV65" s="90" t="s">
        <v>703</v>
      </c>
      <c r="AW65" s="90" t="s">
        <v>703</v>
      </c>
      <c r="AX65" s="90" t="s">
        <v>702</v>
      </c>
      <c r="BA65" t="s">
        <v>1030</v>
      </c>
      <c r="BB65">
        <v>6</v>
      </c>
      <c r="BC65">
        <v>5</v>
      </c>
      <c r="BD65">
        <v>4</v>
      </c>
      <c r="BE65">
        <v>3</v>
      </c>
      <c r="BF65">
        <v>5</v>
      </c>
      <c r="BG65">
        <v>3</v>
      </c>
    </row>
    <row r="66" spans="1:62">
      <c r="A66" t="s">
        <v>1073</v>
      </c>
      <c r="E66" s="90">
        <f t="shared" si="16"/>
        <v>61</v>
      </c>
      <c r="F66" s="90">
        <f t="shared" si="1"/>
        <v>31</v>
      </c>
      <c r="G66" s="90">
        <f t="shared" si="2"/>
        <v>31</v>
      </c>
      <c r="H66" s="90">
        <f t="shared" si="3"/>
        <v>61</v>
      </c>
      <c r="I66" s="90">
        <f t="shared" si="4"/>
        <v>22</v>
      </c>
      <c r="J66" s="90">
        <f t="shared" si="5"/>
        <v>46</v>
      </c>
      <c r="K66" s="242">
        <f t="shared" si="6"/>
        <v>33</v>
      </c>
      <c r="L66" s="90">
        <f t="shared" si="7"/>
        <v>31</v>
      </c>
      <c r="M66" s="90">
        <f t="shared" si="8"/>
        <v>1</v>
      </c>
      <c r="N66" s="90">
        <v>0</v>
      </c>
      <c r="O66" s="90" t="s">
        <v>702</v>
      </c>
      <c r="P66" s="90">
        <f t="shared" si="9"/>
        <v>25</v>
      </c>
      <c r="Q66" s="90">
        <f t="shared" si="10"/>
        <v>25</v>
      </c>
      <c r="R66" s="90">
        <f t="shared" si="11"/>
        <v>25</v>
      </c>
      <c r="S66" s="90">
        <f t="shared" si="12"/>
        <v>25</v>
      </c>
      <c r="T66" s="90">
        <f t="shared" si="13"/>
        <v>25</v>
      </c>
      <c r="U66" s="90">
        <f t="shared" si="14"/>
        <v>25</v>
      </c>
      <c r="V66" s="90"/>
      <c r="W66" s="90" t="s">
        <v>703</v>
      </c>
      <c r="X66" s="90" t="s">
        <v>703</v>
      </c>
      <c r="Y66" s="90" t="s">
        <v>703</v>
      </c>
      <c r="Z66" s="90" t="s">
        <v>703</v>
      </c>
      <c r="AA66" s="90" t="s">
        <v>703</v>
      </c>
      <c r="AB66" s="90" t="s">
        <v>703</v>
      </c>
      <c r="AC66" s="90" t="s">
        <v>703</v>
      </c>
      <c r="AD66" s="90" t="s">
        <v>703</v>
      </c>
      <c r="AE66" s="90" t="s">
        <v>703</v>
      </c>
      <c r="AF66" s="90" t="s">
        <v>703</v>
      </c>
      <c r="AG66" s="90" t="s">
        <v>703</v>
      </c>
      <c r="AH66" s="90" t="s">
        <v>703</v>
      </c>
      <c r="AI66" s="90" t="s">
        <v>703</v>
      </c>
      <c r="AJ66" s="90" t="s">
        <v>703</v>
      </c>
      <c r="AK66" s="90" t="s">
        <v>703</v>
      </c>
      <c r="AL66" s="90" t="s">
        <v>703</v>
      </c>
      <c r="AM66" s="90" t="str">
        <f t="shared" si="15"/>
        <v>Dragon Powers</v>
      </c>
      <c r="AN66" s="90" t="s">
        <v>703</v>
      </c>
      <c r="AO66" s="90" t="s">
        <v>703</v>
      </c>
      <c r="AP66" s="90" t="s">
        <v>703</v>
      </c>
      <c r="AQ66" s="90" t="s">
        <v>703</v>
      </c>
      <c r="AR66" s="90" t="s">
        <v>703</v>
      </c>
      <c r="AS66" s="90" t="s">
        <v>703</v>
      </c>
      <c r="AT66" s="90" t="s">
        <v>703</v>
      </c>
      <c r="AU66" s="90" t="s">
        <v>703</v>
      </c>
      <c r="AV66" s="90" t="s">
        <v>703</v>
      </c>
      <c r="AW66" s="90" t="s">
        <v>703</v>
      </c>
      <c r="AX66" s="90" t="s">
        <v>702</v>
      </c>
      <c r="BA66" t="s">
        <v>1073</v>
      </c>
      <c r="BB66">
        <v>15</v>
      </c>
      <c r="BC66">
        <v>25</v>
      </c>
      <c r="BD66">
        <v>25</v>
      </c>
      <c r="BE66">
        <v>12</v>
      </c>
      <c r="BF66">
        <v>20</v>
      </c>
      <c r="BG66">
        <v>15</v>
      </c>
      <c r="BH66">
        <v>220</v>
      </c>
      <c r="BI66">
        <v>25</v>
      </c>
      <c r="BJ66" t="s">
        <v>1970</v>
      </c>
    </row>
    <row r="67" spans="1:62">
      <c r="A67" t="s">
        <v>1456</v>
      </c>
      <c r="E67" s="90">
        <f t="shared" ref="E67:E111" si="17">((BC67-1)*3)-11</f>
        <v>1</v>
      </c>
      <c r="F67" s="90">
        <f t="shared" ref="F67:F111" si="18">((BB67-1)*3)-11</f>
        <v>4</v>
      </c>
      <c r="G67" s="90">
        <f t="shared" ref="G67:G111" si="19">((BB67-1)*3)-11</f>
        <v>4</v>
      </c>
      <c r="H67" s="90">
        <f t="shared" ref="H67:H111" si="20">((BD67-1)*3)-11</f>
        <v>1</v>
      </c>
      <c r="I67" s="90">
        <f t="shared" ref="I67:I111" si="21">((BE67-1)*3)-11</f>
        <v>13</v>
      </c>
      <c r="J67" s="90">
        <f t="shared" ref="J67:J111" si="22">((BF67-1)*3)-11</f>
        <v>22</v>
      </c>
      <c r="K67" s="242">
        <f t="shared" ref="K67:K111" si="23">((BE67-1)+(BF67-1)+(BG67-1))-11</f>
        <v>12</v>
      </c>
      <c r="L67" s="90">
        <f t="shared" ref="L67:L111" si="24">((BG67-1)*3)-11</f>
        <v>1</v>
      </c>
      <c r="M67" s="90">
        <f t="shared" ref="M67:M111" si="25">BE67-11</f>
        <v>-2</v>
      </c>
      <c r="N67" s="90">
        <v>0</v>
      </c>
      <c r="O67" s="90" t="s">
        <v>702</v>
      </c>
      <c r="P67" s="90">
        <f t="shared" ref="P67:P111" si="26">BI67</f>
        <v>3</v>
      </c>
      <c r="Q67" s="90">
        <f t="shared" ref="Q67:Q111" si="27">BI67</f>
        <v>3</v>
      </c>
      <c r="R67" s="90">
        <f t="shared" ref="R67:R111" si="28">BI67</f>
        <v>3</v>
      </c>
      <c r="S67" s="90">
        <f t="shared" ref="S67:S111" si="29">BI67</f>
        <v>3</v>
      </c>
      <c r="T67" s="90">
        <f t="shared" ref="T67:T111" si="30">BI67</f>
        <v>3</v>
      </c>
      <c r="U67" s="90">
        <f t="shared" ref="U67:U111" si="31">BI67</f>
        <v>3</v>
      </c>
      <c r="V67" s="90"/>
      <c r="W67" s="90" t="s">
        <v>703</v>
      </c>
      <c r="X67" s="90" t="s">
        <v>703</v>
      </c>
      <c r="Y67" s="90" t="s">
        <v>703</v>
      </c>
      <c r="Z67" s="90" t="s">
        <v>703</v>
      </c>
      <c r="AA67" s="90" t="s">
        <v>703</v>
      </c>
      <c r="AB67" s="90" t="s">
        <v>703</v>
      </c>
      <c r="AC67" s="90" t="s">
        <v>703</v>
      </c>
      <c r="AD67" s="90" t="s">
        <v>703</v>
      </c>
      <c r="AE67" s="90" t="s">
        <v>703</v>
      </c>
      <c r="AF67" s="90" t="s">
        <v>703</v>
      </c>
      <c r="AG67" s="90" t="s">
        <v>703</v>
      </c>
      <c r="AH67" s="90" t="s">
        <v>703</v>
      </c>
      <c r="AI67" s="90" t="s">
        <v>703</v>
      </c>
      <c r="AJ67" s="90" t="s">
        <v>703</v>
      </c>
      <c r="AK67" s="90" t="s">
        <v>703</v>
      </c>
      <c r="AL67" s="90" t="s">
        <v>703</v>
      </c>
      <c r="AM67" s="90" t="str">
        <f t="shared" ref="AM67:AM111" si="32">BJ67</f>
        <v>Lightning Armor, Twinbolts</v>
      </c>
      <c r="AN67" s="90" t="s">
        <v>703</v>
      </c>
      <c r="AO67" s="90" t="s">
        <v>703</v>
      </c>
      <c r="AP67" s="90" t="s">
        <v>703</v>
      </c>
      <c r="AQ67" s="90" t="s">
        <v>703</v>
      </c>
      <c r="AR67" s="90" t="s">
        <v>703</v>
      </c>
      <c r="AS67" s="90" t="s">
        <v>703</v>
      </c>
      <c r="AT67" s="90" t="s">
        <v>703</v>
      </c>
      <c r="AU67" s="90" t="s">
        <v>703</v>
      </c>
      <c r="AV67" s="90" t="s">
        <v>703</v>
      </c>
      <c r="AW67" s="90" t="s">
        <v>703</v>
      </c>
      <c r="AX67" s="90" t="s">
        <v>702</v>
      </c>
      <c r="BA67" t="s">
        <v>1456</v>
      </c>
      <c r="BB67">
        <v>6</v>
      </c>
      <c r="BC67">
        <v>5</v>
      </c>
      <c r="BD67">
        <v>5</v>
      </c>
      <c r="BE67">
        <v>9</v>
      </c>
      <c r="BF67">
        <v>12</v>
      </c>
      <c r="BG67">
        <v>5</v>
      </c>
      <c r="BH67">
        <v>38</v>
      </c>
      <c r="BI67">
        <v>3</v>
      </c>
      <c r="BJ67" t="s">
        <v>1171</v>
      </c>
    </row>
    <row r="68" spans="1:62">
      <c r="A68" t="s">
        <v>1482</v>
      </c>
      <c r="E68" s="90">
        <f t="shared" si="17"/>
        <v>7</v>
      </c>
      <c r="F68" s="90">
        <f t="shared" si="18"/>
        <v>-2</v>
      </c>
      <c r="G68" s="90">
        <f t="shared" si="19"/>
        <v>-2</v>
      </c>
      <c r="H68" s="90">
        <f t="shared" si="20"/>
        <v>1</v>
      </c>
      <c r="I68" s="90">
        <f t="shared" si="21"/>
        <v>-5</v>
      </c>
      <c r="J68" s="90">
        <f t="shared" si="22"/>
        <v>-5</v>
      </c>
      <c r="K68" s="242">
        <f t="shared" si="23"/>
        <v>-5</v>
      </c>
      <c r="L68" s="90">
        <f t="shared" si="24"/>
        <v>-5</v>
      </c>
      <c r="M68" s="90">
        <f t="shared" si="25"/>
        <v>-8</v>
      </c>
      <c r="N68" s="90">
        <v>0</v>
      </c>
      <c r="O68" s="90" t="s">
        <v>702</v>
      </c>
      <c r="P68" s="90">
        <f t="shared" si="26"/>
        <v>0</v>
      </c>
      <c r="Q68" s="90">
        <f t="shared" si="27"/>
        <v>0</v>
      </c>
      <c r="R68" s="90">
        <f t="shared" si="28"/>
        <v>0</v>
      </c>
      <c r="S68" s="90">
        <f t="shared" si="29"/>
        <v>0</v>
      </c>
      <c r="T68" s="90">
        <f t="shared" si="30"/>
        <v>0</v>
      </c>
      <c r="U68" s="90">
        <f t="shared" si="31"/>
        <v>0</v>
      </c>
      <c r="V68" s="90"/>
      <c r="W68" s="90" t="s">
        <v>703</v>
      </c>
      <c r="X68" s="90" t="s">
        <v>703</v>
      </c>
      <c r="Y68" s="90" t="s">
        <v>703</v>
      </c>
      <c r="Z68" s="90" t="s">
        <v>703</v>
      </c>
      <c r="AA68" s="90" t="s">
        <v>703</v>
      </c>
      <c r="AB68" s="90" t="s">
        <v>703</v>
      </c>
      <c r="AC68" s="90" t="s">
        <v>703</v>
      </c>
      <c r="AD68" s="90" t="s">
        <v>703</v>
      </c>
      <c r="AE68" s="90" t="s">
        <v>703</v>
      </c>
      <c r="AF68" s="90" t="s">
        <v>703</v>
      </c>
      <c r="AG68" s="90" t="s">
        <v>703</v>
      </c>
      <c r="AH68" s="90" t="s">
        <v>703</v>
      </c>
      <c r="AI68" s="90" t="s">
        <v>703</v>
      </c>
      <c r="AJ68" s="90" t="s">
        <v>703</v>
      </c>
      <c r="AK68" s="90" t="s">
        <v>703</v>
      </c>
      <c r="AL68" s="90" t="s">
        <v>703</v>
      </c>
      <c r="AM68" s="90">
        <f t="shared" si="32"/>
        <v>0</v>
      </c>
      <c r="AN68" s="90" t="s">
        <v>703</v>
      </c>
      <c r="AO68" s="90" t="s">
        <v>703</v>
      </c>
      <c r="AP68" s="90" t="s">
        <v>703</v>
      </c>
      <c r="AQ68" s="90" t="s">
        <v>703</v>
      </c>
      <c r="AR68" s="90" t="s">
        <v>703</v>
      </c>
      <c r="AS68" s="90" t="s">
        <v>703</v>
      </c>
      <c r="AT68" s="90" t="s">
        <v>703</v>
      </c>
      <c r="AU68" s="90" t="s">
        <v>703</v>
      </c>
      <c r="AV68" s="90" t="s">
        <v>703</v>
      </c>
      <c r="AW68" s="90" t="s">
        <v>703</v>
      </c>
      <c r="AX68" s="90" t="s">
        <v>702</v>
      </c>
      <c r="BA68" t="s">
        <v>1482</v>
      </c>
      <c r="BB68">
        <v>4</v>
      </c>
      <c r="BC68">
        <v>7</v>
      </c>
      <c r="BD68">
        <v>5</v>
      </c>
      <c r="BE68">
        <v>3</v>
      </c>
      <c r="BF68">
        <v>3</v>
      </c>
      <c r="BG68">
        <v>3</v>
      </c>
    </row>
    <row r="69" spans="1:62">
      <c r="A69" t="s">
        <v>1483</v>
      </c>
      <c r="E69" s="90">
        <f t="shared" si="17"/>
        <v>1</v>
      </c>
      <c r="F69" s="90">
        <f t="shared" si="18"/>
        <v>-2</v>
      </c>
      <c r="G69" s="90">
        <f t="shared" si="19"/>
        <v>-2</v>
      </c>
      <c r="H69" s="90">
        <f t="shared" si="20"/>
        <v>1</v>
      </c>
      <c r="I69" s="90">
        <f t="shared" si="21"/>
        <v>-2</v>
      </c>
      <c r="J69" s="90">
        <f t="shared" si="22"/>
        <v>-5</v>
      </c>
      <c r="K69" s="242">
        <f t="shared" si="23"/>
        <v>-3</v>
      </c>
      <c r="L69" s="90">
        <f t="shared" si="24"/>
        <v>-2</v>
      </c>
      <c r="M69" s="90">
        <f t="shared" si="25"/>
        <v>-7</v>
      </c>
      <c r="N69" s="90">
        <v>0</v>
      </c>
      <c r="O69" s="90" t="s">
        <v>702</v>
      </c>
      <c r="P69" s="90">
        <f t="shared" si="26"/>
        <v>0</v>
      </c>
      <c r="Q69" s="90">
        <f t="shared" si="27"/>
        <v>0</v>
      </c>
      <c r="R69" s="90">
        <f t="shared" si="28"/>
        <v>0</v>
      </c>
      <c r="S69" s="90">
        <f t="shared" si="29"/>
        <v>0</v>
      </c>
      <c r="T69" s="90">
        <f t="shared" si="30"/>
        <v>0</v>
      </c>
      <c r="U69" s="90">
        <f t="shared" si="31"/>
        <v>0</v>
      </c>
      <c r="V69" s="90"/>
      <c r="W69" s="90" t="s">
        <v>703</v>
      </c>
      <c r="X69" s="90" t="s">
        <v>703</v>
      </c>
      <c r="Y69" s="90" t="s">
        <v>703</v>
      </c>
      <c r="Z69" s="90" t="s">
        <v>703</v>
      </c>
      <c r="AA69" s="90" t="s">
        <v>703</v>
      </c>
      <c r="AB69" s="90" t="s">
        <v>703</v>
      </c>
      <c r="AC69" s="90" t="s">
        <v>703</v>
      </c>
      <c r="AD69" s="90" t="s">
        <v>703</v>
      </c>
      <c r="AE69" s="90" t="s">
        <v>703</v>
      </c>
      <c r="AF69" s="90" t="s">
        <v>703</v>
      </c>
      <c r="AG69" s="90" t="s">
        <v>703</v>
      </c>
      <c r="AH69" s="90" t="s">
        <v>703</v>
      </c>
      <c r="AI69" s="90" t="s">
        <v>703</v>
      </c>
      <c r="AJ69" s="90" t="s">
        <v>703</v>
      </c>
      <c r="AK69" s="90" t="s">
        <v>703</v>
      </c>
      <c r="AL69" s="90" t="s">
        <v>703</v>
      </c>
      <c r="AM69" s="90">
        <f t="shared" si="32"/>
        <v>0</v>
      </c>
      <c r="AN69" s="90" t="s">
        <v>703</v>
      </c>
      <c r="AO69" s="90" t="s">
        <v>703</v>
      </c>
      <c r="AP69" s="90" t="s">
        <v>703</v>
      </c>
      <c r="AQ69" s="90" t="s">
        <v>703</v>
      </c>
      <c r="AR69" s="90" t="s">
        <v>703</v>
      </c>
      <c r="AS69" s="90" t="s">
        <v>703</v>
      </c>
      <c r="AT69" s="90" t="s">
        <v>703</v>
      </c>
      <c r="AU69" s="90" t="s">
        <v>703</v>
      </c>
      <c r="AV69" s="90" t="s">
        <v>703</v>
      </c>
      <c r="AW69" s="90" t="s">
        <v>703</v>
      </c>
      <c r="AX69" s="90" t="s">
        <v>702</v>
      </c>
      <c r="BA69" t="s">
        <v>1483</v>
      </c>
      <c r="BB69">
        <v>4</v>
      </c>
      <c r="BC69">
        <v>5</v>
      </c>
      <c r="BD69">
        <v>5</v>
      </c>
      <c r="BE69">
        <v>4</v>
      </c>
      <c r="BF69">
        <v>3</v>
      </c>
      <c r="BG69">
        <v>4</v>
      </c>
    </row>
    <row r="70" spans="1:62">
      <c r="A70" t="s">
        <v>2352</v>
      </c>
      <c r="E70" s="90">
        <f t="shared" si="17"/>
        <v>40</v>
      </c>
      <c r="F70" s="90">
        <f t="shared" si="18"/>
        <v>7</v>
      </c>
      <c r="G70" s="90">
        <f t="shared" si="19"/>
        <v>7</v>
      </c>
      <c r="H70" s="90">
        <f t="shared" si="20"/>
        <v>19</v>
      </c>
      <c r="I70" s="90">
        <f t="shared" si="21"/>
        <v>1</v>
      </c>
      <c r="J70" s="90">
        <f t="shared" si="22"/>
        <v>10</v>
      </c>
      <c r="K70" s="242">
        <f t="shared" si="23"/>
        <v>3</v>
      </c>
      <c r="L70" s="90">
        <f t="shared" si="24"/>
        <v>-2</v>
      </c>
      <c r="M70" s="90">
        <f t="shared" si="25"/>
        <v>-6</v>
      </c>
      <c r="N70" s="90">
        <v>0</v>
      </c>
      <c r="O70" s="90" t="s">
        <v>702</v>
      </c>
      <c r="P70" s="90">
        <f t="shared" si="26"/>
        <v>6</v>
      </c>
      <c r="Q70" s="90">
        <f t="shared" si="27"/>
        <v>6</v>
      </c>
      <c r="R70" s="90">
        <f t="shared" si="28"/>
        <v>6</v>
      </c>
      <c r="S70" s="90">
        <f t="shared" si="29"/>
        <v>6</v>
      </c>
      <c r="T70" s="90">
        <f t="shared" si="30"/>
        <v>6</v>
      </c>
      <c r="U70" s="90">
        <f t="shared" si="31"/>
        <v>6</v>
      </c>
      <c r="V70" s="90"/>
      <c r="W70" s="90" t="s">
        <v>703</v>
      </c>
      <c r="X70" s="90" t="s">
        <v>703</v>
      </c>
      <c r="Y70" s="90" t="s">
        <v>703</v>
      </c>
      <c r="Z70" s="90" t="s">
        <v>703</v>
      </c>
      <c r="AA70" s="90" t="s">
        <v>703</v>
      </c>
      <c r="AB70" s="90" t="s">
        <v>703</v>
      </c>
      <c r="AC70" s="90" t="s">
        <v>703</v>
      </c>
      <c r="AD70" s="90" t="s">
        <v>703</v>
      </c>
      <c r="AE70" s="90" t="s">
        <v>703</v>
      </c>
      <c r="AF70" s="90" t="s">
        <v>703</v>
      </c>
      <c r="AG70" s="90" t="s">
        <v>703</v>
      </c>
      <c r="AH70" s="90" t="s">
        <v>703</v>
      </c>
      <c r="AI70" s="90" t="s">
        <v>703</v>
      </c>
      <c r="AJ70" s="90" t="s">
        <v>703</v>
      </c>
      <c r="AK70" s="90" t="s">
        <v>703</v>
      </c>
      <c r="AL70" s="90" t="s">
        <v>703</v>
      </c>
      <c r="AM70" s="90" t="str">
        <f t="shared" si="32"/>
        <v>Heat Damage</v>
      </c>
      <c r="AN70" s="90" t="s">
        <v>703</v>
      </c>
      <c r="AO70" s="90" t="s">
        <v>703</v>
      </c>
      <c r="AP70" s="90" t="s">
        <v>703</v>
      </c>
      <c r="AQ70" s="90" t="s">
        <v>703</v>
      </c>
      <c r="AR70" s="90" t="s">
        <v>703</v>
      </c>
      <c r="AS70" s="90" t="s">
        <v>703</v>
      </c>
      <c r="AT70" s="90" t="s">
        <v>703</v>
      </c>
      <c r="AU70" s="90" t="s">
        <v>703</v>
      </c>
      <c r="AV70" s="90" t="s">
        <v>703</v>
      </c>
      <c r="AW70" s="90" t="s">
        <v>703</v>
      </c>
      <c r="AX70" s="90" t="s">
        <v>702</v>
      </c>
      <c r="BA70" t="s">
        <v>2352</v>
      </c>
      <c r="BB70">
        <v>7</v>
      </c>
      <c r="BC70">
        <v>18</v>
      </c>
      <c r="BD70">
        <v>11</v>
      </c>
      <c r="BE70">
        <v>5</v>
      </c>
      <c r="BF70">
        <v>8</v>
      </c>
      <c r="BG70">
        <v>4</v>
      </c>
      <c r="BH70">
        <v>50</v>
      </c>
      <c r="BI70">
        <v>6</v>
      </c>
      <c r="BJ70" t="s">
        <v>2353</v>
      </c>
    </row>
    <row r="71" spans="1:62">
      <c r="A71" t="s">
        <v>2354</v>
      </c>
      <c r="E71" s="90">
        <f t="shared" si="17"/>
        <v>25</v>
      </c>
      <c r="F71" s="90">
        <f t="shared" si="18"/>
        <v>13</v>
      </c>
      <c r="G71" s="90">
        <f t="shared" si="19"/>
        <v>13</v>
      </c>
      <c r="H71" s="90">
        <f t="shared" si="20"/>
        <v>16</v>
      </c>
      <c r="I71" s="90">
        <f t="shared" si="21"/>
        <v>19</v>
      </c>
      <c r="J71" s="90">
        <f t="shared" si="22"/>
        <v>13</v>
      </c>
      <c r="K71" s="242">
        <f t="shared" si="23"/>
        <v>13</v>
      </c>
      <c r="L71" s="90">
        <f t="shared" si="24"/>
        <v>7</v>
      </c>
      <c r="M71" s="90">
        <f t="shared" si="25"/>
        <v>0</v>
      </c>
      <c r="N71" s="90">
        <v>0</v>
      </c>
      <c r="O71" s="90" t="s">
        <v>702</v>
      </c>
      <c r="P71" s="90">
        <f t="shared" si="26"/>
        <v>8</v>
      </c>
      <c r="Q71" s="90">
        <f t="shared" si="27"/>
        <v>8</v>
      </c>
      <c r="R71" s="90">
        <f t="shared" si="28"/>
        <v>8</v>
      </c>
      <c r="S71" s="90">
        <f t="shared" si="29"/>
        <v>8</v>
      </c>
      <c r="T71" s="90">
        <f t="shared" si="30"/>
        <v>8</v>
      </c>
      <c r="U71" s="90">
        <f t="shared" si="31"/>
        <v>8</v>
      </c>
      <c r="V71" s="90"/>
      <c r="W71" s="90" t="s">
        <v>703</v>
      </c>
      <c r="X71" s="90" t="s">
        <v>703</v>
      </c>
      <c r="Y71" s="90" t="s">
        <v>703</v>
      </c>
      <c r="Z71" s="90" t="s">
        <v>703</v>
      </c>
      <c r="AA71" s="90" t="s">
        <v>703</v>
      </c>
      <c r="AB71" s="90" t="s">
        <v>703</v>
      </c>
      <c r="AC71" s="90" t="s">
        <v>703</v>
      </c>
      <c r="AD71" s="90" t="s">
        <v>703</v>
      </c>
      <c r="AE71" s="90" t="s">
        <v>703</v>
      </c>
      <c r="AF71" s="90" t="s">
        <v>703</v>
      </c>
      <c r="AG71" s="90" t="s">
        <v>703</v>
      </c>
      <c r="AH71" s="90" t="s">
        <v>703</v>
      </c>
      <c r="AI71" s="90" t="s">
        <v>703</v>
      </c>
      <c r="AJ71" s="90" t="s">
        <v>703</v>
      </c>
      <c r="AK71" s="90" t="s">
        <v>703</v>
      </c>
      <c r="AL71" s="90" t="s">
        <v>703</v>
      </c>
      <c r="AM71" s="90" t="str">
        <f t="shared" si="32"/>
        <v>Spells</v>
      </c>
      <c r="AN71" s="90" t="s">
        <v>703</v>
      </c>
      <c r="AO71" s="90" t="s">
        <v>703</v>
      </c>
      <c r="AP71" s="90" t="s">
        <v>703</v>
      </c>
      <c r="AQ71" s="90" t="s">
        <v>703</v>
      </c>
      <c r="AR71" s="90" t="s">
        <v>703</v>
      </c>
      <c r="AS71" s="90" t="s">
        <v>703</v>
      </c>
      <c r="AT71" s="90" t="s">
        <v>703</v>
      </c>
      <c r="AU71" s="90" t="s">
        <v>703</v>
      </c>
      <c r="AV71" s="90" t="s">
        <v>703</v>
      </c>
      <c r="AW71" s="90" t="s">
        <v>703</v>
      </c>
      <c r="AX71" s="90" t="s">
        <v>702</v>
      </c>
      <c r="BA71" t="s">
        <v>2354</v>
      </c>
      <c r="BB71">
        <v>9</v>
      </c>
      <c r="BC71">
        <v>13</v>
      </c>
      <c r="BD71">
        <v>10</v>
      </c>
      <c r="BE71">
        <v>11</v>
      </c>
      <c r="BF71">
        <v>9</v>
      </c>
      <c r="BG71">
        <v>7</v>
      </c>
      <c r="BH71">
        <v>60</v>
      </c>
      <c r="BI71">
        <v>8</v>
      </c>
      <c r="BJ71" t="s">
        <v>1938</v>
      </c>
    </row>
    <row r="72" spans="1:62">
      <c r="A72" t="s">
        <v>1365</v>
      </c>
      <c r="E72" s="90">
        <f t="shared" si="17"/>
        <v>4</v>
      </c>
      <c r="F72" s="90">
        <f t="shared" si="18"/>
        <v>4</v>
      </c>
      <c r="G72" s="90">
        <f t="shared" si="19"/>
        <v>4</v>
      </c>
      <c r="H72" s="90">
        <f t="shared" si="20"/>
        <v>10</v>
      </c>
      <c r="I72" s="90">
        <f t="shared" si="21"/>
        <v>7</v>
      </c>
      <c r="J72" s="90">
        <f t="shared" si="22"/>
        <v>16</v>
      </c>
      <c r="K72" s="242">
        <f t="shared" si="23"/>
        <v>9</v>
      </c>
      <c r="L72" s="90">
        <f t="shared" si="24"/>
        <v>4</v>
      </c>
      <c r="M72" s="90">
        <f t="shared" si="25"/>
        <v>-4</v>
      </c>
      <c r="N72" s="90">
        <v>0</v>
      </c>
      <c r="O72" s="90" t="s">
        <v>702</v>
      </c>
      <c r="P72" s="90">
        <f t="shared" si="26"/>
        <v>0</v>
      </c>
      <c r="Q72" s="90">
        <f t="shared" si="27"/>
        <v>0</v>
      </c>
      <c r="R72" s="90">
        <f t="shared" si="28"/>
        <v>0</v>
      </c>
      <c r="S72" s="90">
        <f t="shared" si="29"/>
        <v>0</v>
      </c>
      <c r="T72" s="90">
        <f t="shared" si="30"/>
        <v>0</v>
      </c>
      <c r="U72" s="90">
        <f t="shared" si="31"/>
        <v>0</v>
      </c>
      <c r="V72" s="90"/>
      <c r="W72" s="90" t="s">
        <v>703</v>
      </c>
      <c r="X72" s="90" t="s">
        <v>703</v>
      </c>
      <c r="Y72" s="90" t="s">
        <v>703</v>
      </c>
      <c r="Z72" s="90" t="s">
        <v>703</v>
      </c>
      <c r="AA72" s="90" t="s">
        <v>703</v>
      </c>
      <c r="AB72" s="90" t="s">
        <v>703</v>
      </c>
      <c r="AC72" s="90" t="s">
        <v>703</v>
      </c>
      <c r="AD72" s="90" t="s">
        <v>703</v>
      </c>
      <c r="AE72" s="90" t="s">
        <v>703</v>
      </c>
      <c r="AF72" s="90" t="s">
        <v>703</v>
      </c>
      <c r="AG72" s="90" t="s">
        <v>703</v>
      </c>
      <c r="AH72" s="90" t="s">
        <v>703</v>
      </c>
      <c r="AI72" s="90" t="s">
        <v>703</v>
      </c>
      <c r="AJ72" s="90" t="s">
        <v>703</v>
      </c>
      <c r="AK72" s="90" t="s">
        <v>703</v>
      </c>
      <c r="AL72" s="90" t="s">
        <v>703</v>
      </c>
      <c r="AM72" s="90">
        <f t="shared" si="32"/>
        <v>0</v>
      </c>
      <c r="AN72" s="90" t="s">
        <v>703</v>
      </c>
      <c r="AO72" s="90" t="s">
        <v>703</v>
      </c>
      <c r="AP72" s="90" t="s">
        <v>703</v>
      </c>
      <c r="AQ72" s="90" t="s">
        <v>703</v>
      </c>
      <c r="AR72" s="90" t="s">
        <v>703</v>
      </c>
      <c r="AS72" s="90" t="s">
        <v>703</v>
      </c>
      <c r="AT72" s="90" t="s">
        <v>703</v>
      </c>
      <c r="AU72" s="90" t="s">
        <v>703</v>
      </c>
      <c r="AV72" s="90" t="s">
        <v>703</v>
      </c>
      <c r="AW72" s="90" t="s">
        <v>703</v>
      </c>
      <c r="AX72" s="90" t="s">
        <v>702</v>
      </c>
      <c r="BA72" t="s">
        <v>1365</v>
      </c>
      <c r="BB72">
        <v>6</v>
      </c>
      <c r="BC72">
        <v>6</v>
      </c>
      <c r="BD72">
        <v>8</v>
      </c>
      <c r="BE72">
        <v>7</v>
      </c>
      <c r="BF72">
        <v>10</v>
      </c>
      <c r="BG72">
        <v>6</v>
      </c>
      <c r="BH72">
        <v>43</v>
      </c>
      <c r="BI72">
        <v>0</v>
      </c>
    </row>
    <row r="73" spans="1:62">
      <c r="A73" t="s">
        <v>1939</v>
      </c>
      <c r="E73" s="90">
        <f t="shared" si="17"/>
        <v>16</v>
      </c>
      <c r="F73" s="90">
        <f t="shared" si="18"/>
        <v>13</v>
      </c>
      <c r="G73" s="90">
        <f t="shared" si="19"/>
        <v>13</v>
      </c>
      <c r="H73" s="90">
        <f t="shared" si="20"/>
        <v>13</v>
      </c>
      <c r="I73" s="90">
        <f t="shared" si="21"/>
        <v>-2</v>
      </c>
      <c r="J73" s="90">
        <f t="shared" si="22"/>
        <v>4</v>
      </c>
      <c r="K73" s="242">
        <f t="shared" si="23"/>
        <v>2</v>
      </c>
      <c r="L73" s="90">
        <f t="shared" si="24"/>
        <v>4</v>
      </c>
      <c r="M73" s="90">
        <f t="shared" si="25"/>
        <v>-7</v>
      </c>
      <c r="N73" s="90">
        <v>0</v>
      </c>
      <c r="O73" s="90" t="s">
        <v>702</v>
      </c>
      <c r="P73" s="90">
        <f t="shared" si="26"/>
        <v>8</v>
      </c>
      <c r="Q73" s="90">
        <f t="shared" si="27"/>
        <v>8</v>
      </c>
      <c r="R73" s="90">
        <f t="shared" si="28"/>
        <v>8</v>
      </c>
      <c r="S73" s="90">
        <f t="shared" si="29"/>
        <v>8</v>
      </c>
      <c r="T73" s="90">
        <f t="shared" si="30"/>
        <v>8</v>
      </c>
      <c r="U73" s="90">
        <f t="shared" si="31"/>
        <v>8</v>
      </c>
      <c r="V73" s="90"/>
      <c r="W73" s="90" t="s">
        <v>703</v>
      </c>
      <c r="X73" s="90" t="s">
        <v>703</v>
      </c>
      <c r="Y73" s="90" t="s">
        <v>703</v>
      </c>
      <c r="Z73" s="90" t="s">
        <v>703</v>
      </c>
      <c r="AA73" s="90" t="s">
        <v>703</v>
      </c>
      <c r="AB73" s="90" t="s">
        <v>703</v>
      </c>
      <c r="AC73" s="90" t="s">
        <v>703</v>
      </c>
      <c r="AD73" s="90" t="s">
        <v>703</v>
      </c>
      <c r="AE73" s="90" t="s">
        <v>703</v>
      </c>
      <c r="AF73" s="90" t="s">
        <v>703</v>
      </c>
      <c r="AG73" s="90" t="s">
        <v>703</v>
      </c>
      <c r="AH73" s="90" t="s">
        <v>703</v>
      </c>
      <c r="AI73" s="90" t="s">
        <v>703</v>
      </c>
      <c r="AJ73" s="90" t="s">
        <v>703</v>
      </c>
      <c r="AK73" s="90" t="s">
        <v>703</v>
      </c>
      <c r="AL73" s="90" t="s">
        <v>703</v>
      </c>
      <c r="AM73" s="90">
        <f t="shared" si="32"/>
        <v>0</v>
      </c>
      <c r="AN73" s="90" t="s">
        <v>703</v>
      </c>
      <c r="AO73" s="90" t="s">
        <v>703</v>
      </c>
      <c r="AP73" s="90" t="s">
        <v>703</v>
      </c>
      <c r="AQ73" s="90" t="s">
        <v>703</v>
      </c>
      <c r="AR73" s="90" t="s">
        <v>703</v>
      </c>
      <c r="AS73" s="90" t="s">
        <v>703</v>
      </c>
      <c r="AT73" s="90" t="s">
        <v>703</v>
      </c>
      <c r="AU73" s="90" t="s">
        <v>703</v>
      </c>
      <c r="AV73" s="90" t="s">
        <v>703</v>
      </c>
      <c r="AW73" s="90" t="s">
        <v>703</v>
      </c>
      <c r="AX73" s="90" t="s">
        <v>702</v>
      </c>
      <c r="BA73" t="s">
        <v>1939</v>
      </c>
      <c r="BB73">
        <v>9</v>
      </c>
      <c r="BC73">
        <v>10</v>
      </c>
      <c r="BD73">
        <v>9</v>
      </c>
      <c r="BE73">
        <v>4</v>
      </c>
      <c r="BF73">
        <v>6</v>
      </c>
      <c r="BG73">
        <v>6</v>
      </c>
      <c r="BH73">
        <v>60</v>
      </c>
      <c r="BI73">
        <v>8</v>
      </c>
    </row>
    <row r="74" spans="1:62">
      <c r="A74" t="s">
        <v>1484</v>
      </c>
      <c r="E74" s="90">
        <f t="shared" si="17"/>
        <v>1</v>
      </c>
      <c r="F74" s="90">
        <f t="shared" si="18"/>
        <v>7</v>
      </c>
      <c r="G74" s="90">
        <f t="shared" si="19"/>
        <v>7</v>
      </c>
      <c r="H74" s="90">
        <f t="shared" si="20"/>
        <v>-2</v>
      </c>
      <c r="I74" s="90">
        <f t="shared" si="21"/>
        <v>1</v>
      </c>
      <c r="J74" s="90">
        <f t="shared" si="22"/>
        <v>-5</v>
      </c>
      <c r="K74" s="242">
        <f t="shared" si="23"/>
        <v>-3</v>
      </c>
      <c r="L74" s="90">
        <f t="shared" si="24"/>
        <v>-5</v>
      </c>
      <c r="M74" s="90">
        <f t="shared" si="25"/>
        <v>-6</v>
      </c>
      <c r="N74" s="90">
        <v>0</v>
      </c>
      <c r="O74" s="90" t="s">
        <v>702</v>
      </c>
      <c r="P74" s="90">
        <f t="shared" si="26"/>
        <v>0</v>
      </c>
      <c r="Q74" s="90">
        <f t="shared" si="27"/>
        <v>0</v>
      </c>
      <c r="R74" s="90">
        <f t="shared" si="28"/>
        <v>0</v>
      </c>
      <c r="S74" s="90">
        <f t="shared" si="29"/>
        <v>0</v>
      </c>
      <c r="T74" s="90">
        <f t="shared" si="30"/>
        <v>0</v>
      </c>
      <c r="U74" s="90">
        <f t="shared" si="31"/>
        <v>0</v>
      </c>
      <c r="V74" s="90"/>
      <c r="W74" s="90" t="s">
        <v>703</v>
      </c>
      <c r="X74" s="90" t="s">
        <v>703</v>
      </c>
      <c r="Y74" s="90" t="s">
        <v>703</v>
      </c>
      <c r="Z74" s="90" t="s">
        <v>703</v>
      </c>
      <c r="AA74" s="90" t="s">
        <v>703</v>
      </c>
      <c r="AB74" s="90" t="s">
        <v>703</v>
      </c>
      <c r="AC74" s="90" t="s">
        <v>703</v>
      </c>
      <c r="AD74" s="90" t="s">
        <v>703</v>
      </c>
      <c r="AE74" s="90" t="s">
        <v>703</v>
      </c>
      <c r="AF74" s="90" t="s">
        <v>703</v>
      </c>
      <c r="AG74" s="90" t="s">
        <v>703</v>
      </c>
      <c r="AH74" s="90" t="s">
        <v>703</v>
      </c>
      <c r="AI74" s="90" t="s">
        <v>703</v>
      </c>
      <c r="AJ74" s="90" t="s">
        <v>703</v>
      </c>
      <c r="AK74" s="90" t="s">
        <v>703</v>
      </c>
      <c r="AL74" s="90" t="s">
        <v>703</v>
      </c>
      <c r="AM74" s="90">
        <f t="shared" si="32"/>
        <v>0</v>
      </c>
      <c r="AN74" s="90" t="s">
        <v>703</v>
      </c>
      <c r="AO74" s="90" t="s">
        <v>703</v>
      </c>
      <c r="AP74" s="90" t="s">
        <v>703</v>
      </c>
      <c r="AQ74" s="90" t="s">
        <v>703</v>
      </c>
      <c r="AR74" s="90" t="s">
        <v>703</v>
      </c>
      <c r="AS74" s="90" t="s">
        <v>703</v>
      </c>
      <c r="AT74" s="90" t="s">
        <v>703</v>
      </c>
      <c r="AU74" s="90" t="s">
        <v>703</v>
      </c>
      <c r="AV74" s="90" t="s">
        <v>703</v>
      </c>
      <c r="AW74" s="90" t="s">
        <v>703</v>
      </c>
      <c r="AX74" s="90" t="s">
        <v>702</v>
      </c>
      <c r="BA74" t="s">
        <v>1484</v>
      </c>
      <c r="BB74">
        <v>7</v>
      </c>
      <c r="BC74">
        <v>5</v>
      </c>
      <c r="BD74">
        <v>4</v>
      </c>
      <c r="BE74">
        <v>5</v>
      </c>
      <c r="BF74">
        <v>3</v>
      </c>
      <c r="BG74">
        <v>3</v>
      </c>
    </row>
    <row r="75" spans="1:62">
      <c r="A75" t="s">
        <v>1494</v>
      </c>
      <c r="E75" s="90">
        <f t="shared" si="17"/>
        <v>4</v>
      </c>
      <c r="F75" s="90">
        <f t="shared" si="18"/>
        <v>-2</v>
      </c>
      <c r="G75" s="90">
        <f t="shared" si="19"/>
        <v>-2</v>
      </c>
      <c r="H75" s="90">
        <f t="shared" si="20"/>
        <v>7</v>
      </c>
      <c r="I75" s="90">
        <f t="shared" si="21"/>
        <v>-5</v>
      </c>
      <c r="J75" s="90">
        <f t="shared" si="22"/>
        <v>-2</v>
      </c>
      <c r="K75" s="242">
        <f t="shared" si="23"/>
        <v>-4</v>
      </c>
      <c r="L75" s="90">
        <f t="shared" si="24"/>
        <v>-5</v>
      </c>
      <c r="M75" s="90">
        <f t="shared" si="25"/>
        <v>-8</v>
      </c>
      <c r="N75" s="90">
        <v>0</v>
      </c>
      <c r="O75" s="90" t="s">
        <v>702</v>
      </c>
      <c r="P75" s="90">
        <f t="shared" si="26"/>
        <v>0</v>
      </c>
      <c r="Q75" s="90">
        <f t="shared" si="27"/>
        <v>0</v>
      </c>
      <c r="R75" s="90">
        <f t="shared" si="28"/>
        <v>0</v>
      </c>
      <c r="S75" s="90">
        <f t="shared" si="29"/>
        <v>0</v>
      </c>
      <c r="T75" s="90">
        <f t="shared" si="30"/>
        <v>0</v>
      </c>
      <c r="U75" s="90">
        <f t="shared" si="31"/>
        <v>0</v>
      </c>
      <c r="V75" s="90"/>
      <c r="W75" s="90" t="s">
        <v>703</v>
      </c>
      <c r="X75" s="90" t="s">
        <v>703</v>
      </c>
      <c r="Y75" s="90" t="s">
        <v>703</v>
      </c>
      <c r="Z75" s="90" t="s">
        <v>703</v>
      </c>
      <c r="AA75" s="90" t="s">
        <v>703</v>
      </c>
      <c r="AB75" s="90" t="s">
        <v>703</v>
      </c>
      <c r="AC75" s="90" t="s">
        <v>703</v>
      </c>
      <c r="AD75" s="90" t="s">
        <v>703</v>
      </c>
      <c r="AE75" s="90" t="s">
        <v>703</v>
      </c>
      <c r="AF75" s="90" t="s">
        <v>703</v>
      </c>
      <c r="AG75" s="90" t="s">
        <v>703</v>
      </c>
      <c r="AH75" s="90" t="s">
        <v>703</v>
      </c>
      <c r="AI75" s="90" t="s">
        <v>703</v>
      </c>
      <c r="AJ75" s="90" t="s">
        <v>703</v>
      </c>
      <c r="AK75" s="90" t="s">
        <v>703</v>
      </c>
      <c r="AL75" s="90" t="s">
        <v>703</v>
      </c>
      <c r="AM75" s="90">
        <f t="shared" si="32"/>
        <v>0</v>
      </c>
      <c r="AN75" s="90" t="s">
        <v>703</v>
      </c>
      <c r="AO75" s="90" t="s">
        <v>703</v>
      </c>
      <c r="AP75" s="90" t="s">
        <v>703</v>
      </c>
      <c r="AQ75" s="90" t="s">
        <v>703</v>
      </c>
      <c r="AR75" s="90" t="s">
        <v>703</v>
      </c>
      <c r="AS75" s="90" t="s">
        <v>703</v>
      </c>
      <c r="AT75" s="90" t="s">
        <v>703</v>
      </c>
      <c r="AU75" s="90" t="s">
        <v>703</v>
      </c>
      <c r="AV75" s="90" t="s">
        <v>703</v>
      </c>
      <c r="AW75" s="90" t="s">
        <v>703</v>
      </c>
      <c r="AX75" s="90" t="s">
        <v>702</v>
      </c>
      <c r="BA75" t="s">
        <v>1494</v>
      </c>
      <c r="BB75">
        <v>4</v>
      </c>
      <c r="BC75">
        <v>6</v>
      </c>
      <c r="BD75">
        <v>7</v>
      </c>
      <c r="BE75">
        <v>3</v>
      </c>
      <c r="BF75">
        <v>4</v>
      </c>
      <c r="BG75">
        <v>3</v>
      </c>
    </row>
    <row r="76" spans="1:62">
      <c r="A76" t="s">
        <v>1597</v>
      </c>
      <c r="E76" s="90">
        <f t="shared" si="17"/>
        <v>1</v>
      </c>
      <c r="F76" s="90">
        <f t="shared" si="18"/>
        <v>4</v>
      </c>
      <c r="G76" s="90">
        <f t="shared" si="19"/>
        <v>4</v>
      </c>
      <c r="H76" s="90">
        <f t="shared" si="20"/>
        <v>4</v>
      </c>
      <c r="I76" s="90">
        <f t="shared" si="21"/>
        <v>4</v>
      </c>
      <c r="J76" s="90">
        <f t="shared" si="22"/>
        <v>4</v>
      </c>
      <c r="K76" s="242">
        <f t="shared" si="23"/>
        <v>8</v>
      </c>
      <c r="L76" s="90">
        <f t="shared" si="24"/>
        <v>16</v>
      </c>
      <c r="M76" s="90">
        <f t="shared" si="25"/>
        <v>-5</v>
      </c>
      <c r="N76" s="90">
        <v>0</v>
      </c>
      <c r="O76" s="90" t="s">
        <v>702</v>
      </c>
      <c r="P76" s="90">
        <f t="shared" si="26"/>
        <v>5</v>
      </c>
      <c r="Q76" s="90">
        <f t="shared" si="27"/>
        <v>5</v>
      </c>
      <c r="R76" s="90">
        <f t="shared" si="28"/>
        <v>5</v>
      </c>
      <c r="S76" s="90">
        <f t="shared" si="29"/>
        <v>5</v>
      </c>
      <c r="T76" s="90">
        <f t="shared" si="30"/>
        <v>5</v>
      </c>
      <c r="U76" s="90">
        <f t="shared" si="31"/>
        <v>5</v>
      </c>
      <c r="V76" s="90"/>
      <c r="W76" s="90" t="s">
        <v>703</v>
      </c>
      <c r="X76" s="90" t="s">
        <v>703</v>
      </c>
      <c r="Y76" s="90" t="s">
        <v>703</v>
      </c>
      <c r="Z76" s="90" t="s">
        <v>703</v>
      </c>
      <c r="AA76" s="90" t="s">
        <v>703</v>
      </c>
      <c r="AB76" s="90" t="s">
        <v>703</v>
      </c>
      <c r="AC76" s="90" t="s">
        <v>703</v>
      </c>
      <c r="AD76" s="90" t="s">
        <v>703</v>
      </c>
      <c r="AE76" s="90" t="s">
        <v>703</v>
      </c>
      <c r="AF76" s="90" t="s">
        <v>703</v>
      </c>
      <c r="AG76" s="90" t="s">
        <v>703</v>
      </c>
      <c r="AH76" s="90" t="s">
        <v>703</v>
      </c>
      <c r="AI76" s="90" t="s">
        <v>703</v>
      </c>
      <c r="AJ76" s="90" t="s">
        <v>703</v>
      </c>
      <c r="AK76" s="90" t="s">
        <v>703</v>
      </c>
      <c r="AL76" s="90" t="s">
        <v>703</v>
      </c>
      <c r="AM76" s="90" t="str">
        <f t="shared" si="32"/>
        <v>Entrancement</v>
      </c>
      <c r="AN76" s="90" t="s">
        <v>703</v>
      </c>
      <c r="AO76" s="90" t="s">
        <v>703</v>
      </c>
      <c r="AP76" s="90" t="s">
        <v>703</v>
      </c>
      <c r="AQ76" s="90" t="s">
        <v>703</v>
      </c>
      <c r="AR76" s="90" t="s">
        <v>703</v>
      </c>
      <c r="AS76" s="90" t="s">
        <v>703</v>
      </c>
      <c r="AT76" s="90" t="s">
        <v>703</v>
      </c>
      <c r="AU76" s="90" t="s">
        <v>703</v>
      </c>
      <c r="AV76" s="90" t="s">
        <v>703</v>
      </c>
      <c r="AW76" s="90" t="s">
        <v>703</v>
      </c>
      <c r="AX76" s="90" t="s">
        <v>702</v>
      </c>
      <c r="BA76" t="s">
        <v>1597</v>
      </c>
      <c r="BB76">
        <v>6</v>
      </c>
      <c r="BC76">
        <v>5</v>
      </c>
      <c r="BD76">
        <v>6</v>
      </c>
      <c r="BE76">
        <v>6</v>
      </c>
      <c r="BF76">
        <v>6</v>
      </c>
      <c r="BG76">
        <v>10</v>
      </c>
      <c r="BH76">
        <v>30</v>
      </c>
      <c r="BI76">
        <v>5</v>
      </c>
      <c r="BJ76" t="s">
        <v>1940</v>
      </c>
    </row>
    <row r="77" spans="1:62">
      <c r="A77" t="s">
        <v>1900</v>
      </c>
      <c r="E77" s="90">
        <f t="shared" si="17"/>
        <v>22</v>
      </c>
      <c r="F77" s="90">
        <f t="shared" si="18"/>
        <v>4</v>
      </c>
      <c r="G77" s="90">
        <f t="shared" si="19"/>
        <v>4</v>
      </c>
      <c r="H77" s="90">
        <f t="shared" si="20"/>
        <v>16</v>
      </c>
      <c r="I77" s="90">
        <f t="shared" si="21"/>
        <v>-2</v>
      </c>
      <c r="J77" s="90">
        <f t="shared" si="22"/>
        <v>4</v>
      </c>
      <c r="K77" s="242">
        <f t="shared" si="23"/>
        <v>1</v>
      </c>
      <c r="L77" s="90">
        <f t="shared" si="24"/>
        <v>1</v>
      </c>
      <c r="M77" s="90">
        <f t="shared" si="25"/>
        <v>-7</v>
      </c>
      <c r="N77" s="90">
        <v>0</v>
      </c>
      <c r="O77" s="90" t="s">
        <v>702</v>
      </c>
      <c r="P77" s="90">
        <f t="shared" si="26"/>
        <v>10</v>
      </c>
      <c r="Q77" s="90">
        <f t="shared" si="27"/>
        <v>10</v>
      </c>
      <c r="R77" s="90">
        <f t="shared" si="28"/>
        <v>10</v>
      </c>
      <c r="S77" s="90">
        <f t="shared" si="29"/>
        <v>10</v>
      </c>
      <c r="T77" s="90">
        <f t="shared" si="30"/>
        <v>10</v>
      </c>
      <c r="U77" s="90">
        <f t="shared" si="31"/>
        <v>10</v>
      </c>
      <c r="V77" s="90"/>
      <c r="W77" s="90" t="s">
        <v>703</v>
      </c>
      <c r="X77" s="90" t="s">
        <v>703</v>
      </c>
      <c r="Y77" s="90" t="s">
        <v>703</v>
      </c>
      <c r="Z77" s="90" t="s">
        <v>703</v>
      </c>
      <c r="AA77" s="90" t="s">
        <v>703</v>
      </c>
      <c r="AB77" s="90" t="s">
        <v>703</v>
      </c>
      <c r="AC77" s="90" t="s">
        <v>703</v>
      </c>
      <c r="AD77" s="90" t="s">
        <v>703</v>
      </c>
      <c r="AE77" s="90" t="s">
        <v>703</v>
      </c>
      <c r="AF77" s="90" t="s">
        <v>703</v>
      </c>
      <c r="AG77" s="90" t="s">
        <v>703</v>
      </c>
      <c r="AH77" s="90" t="s">
        <v>703</v>
      </c>
      <c r="AI77" s="90" t="s">
        <v>703</v>
      </c>
      <c r="AJ77" s="90" t="s">
        <v>703</v>
      </c>
      <c r="AK77" s="90" t="s">
        <v>703</v>
      </c>
      <c r="AL77" s="90" t="s">
        <v>703</v>
      </c>
      <c r="AM77" s="90">
        <f t="shared" si="32"/>
        <v>0</v>
      </c>
      <c r="AN77" s="90" t="s">
        <v>703</v>
      </c>
      <c r="AO77" s="90" t="s">
        <v>703</v>
      </c>
      <c r="AP77" s="90" t="s">
        <v>703</v>
      </c>
      <c r="AQ77" s="90" t="s">
        <v>703</v>
      </c>
      <c r="AR77" s="90" t="s">
        <v>703</v>
      </c>
      <c r="AS77" s="90" t="s">
        <v>703</v>
      </c>
      <c r="AT77" s="90" t="s">
        <v>703</v>
      </c>
      <c r="AU77" s="90" t="s">
        <v>703</v>
      </c>
      <c r="AV77" s="90" t="s">
        <v>703</v>
      </c>
      <c r="AW77" s="90" t="s">
        <v>703</v>
      </c>
      <c r="AX77" s="90" t="s">
        <v>702</v>
      </c>
      <c r="BA77" t="s">
        <v>1900</v>
      </c>
      <c r="BB77">
        <v>6</v>
      </c>
      <c r="BC77">
        <v>12</v>
      </c>
      <c r="BD77">
        <v>10</v>
      </c>
      <c r="BE77">
        <v>4</v>
      </c>
      <c r="BF77">
        <v>6</v>
      </c>
      <c r="BG77">
        <v>5</v>
      </c>
      <c r="BH77">
        <v>48</v>
      </c>
      <c r="BI77">
        <v>10</v>
      </c>
    </row>
    <row r="78" spans="1:62">
      <c r="A78" t="s">
        <v>1172</v>
      </c>
      <c r="E78" s="90">
        <f t="shared" si="17"/>
        <v>19</v>
      </c>
      <c r="F78" s="90">
        <f t="shared" si="18"/>
        <v>7</v>
      </c>
      <c r="G78" s="90">
        <f t="shared" si="19"/>
        <v>7</v>
      </c>
      <c r="H78" s="90">
        <f t="shared" si="20"/>
        <v>13</v>
      </c>
      <c r="I78" s="90">
        <f t="shared" si="21"/>
        <v>-2</v>
      </c>
      <c r="J78" s="90">
        <f t="shared" si="22"/>
        <v>1</v>
      </c>
      <c r="K78" s="242">
        <f t="shared" si="23"/>
        <v>-2</v>
      </c>
      <c r="L78" s="90">
        <f t="shared" si="24"/>
        <v>-5</v>
      </c>
      <c r="M78" s="90">
        <f t="shared" si="25"/>
        <v>-7</v>
      </c>
      <c r="N78" s="90">
        <v>0</v>
      </c>
      <c r="O78" s="90" t="s">
        <v>702</v>
      </c>
      <c r="P78" s="90">
        <f t="shared" si="26"/>
        <v>7</v>
      </c>
      <c r="Q78" s="90">
        <f t="shared" si="27"/>
        <v>7</v>
      </c>
      <c r="R78" s="90">
        <f t="shared" si="28"/>
        <v>7</v>
      </c>
      <c r="S78" s="90">
        <f t="shared" si="29"/>
        <v>7</v>
      </c>
      <c r="T78" s="90">
        <f t="shared" si="30"/>
        <v>7</v>
      </c>
      <c r="U78" s="90">
        <f t="shared" si="31"/>
        <v>7</v>
      </c>
      <c r="V78" s="90"/>
      <c r="W78" s="90" t="s">
        <v>703</v>
      </c>
      <c r="X78" s="90" t="s">
        <v>703</v>
      </c>
      <c r="Y78" s="90" t="s">
        <v>703</v>
      </c>
      <c r="Z78" s="90" t="s">
        <v>703</v>
      </c>
      <c r="AA78" s="90" t="s">
        <v>703</v>
      </c>
      <c r="AB78" s="90" t="s">
        <v>703</v>
      </c>
      <c r="AC78" s="90" t="s">
        <v>703</v>
      </c>
      <c r="AD78" s="90" t="s">
        <v>703</v>
      </c>
      <c r="AE78" s="90" t="s">
        <v>703</v>
      </c>
      <c r="AF78" s="90" t="s">
        <v>703</v>
      </c>
      <c r="AG78" s="90" t="s">
        <v>703</v>
      </c>
      <c r="AH78" s="90" t="s">
        <v>703</v>
      </c>
      <c r="AI78" s="90" t="s">
        <v>703</v>
      </c>
      <c r="AJ78" s="90" t="s">
        <v>703</v>
      </c>
      <c r="AK78" s="90" t="s">
        <v>703</v>
      </c>
      <c r="AL78" s="90" t="s">
        <v>703</v>
      </c>
      <c r="AM78" s="90">
        <f t="shared" si="32"/>
        <v>0</v>
      </c>
      <c r="AN78" s="90" t="s">
        <v>703</v>
      </c>
      <c r="AO78" s="90" t="s">
        <v>703</v>
      </c>
      <c r="AP78" s="90" t="s">
        <v>703</v>
      </c>
      <c r="AQ78" s="90" t="s">
        <v>703</v>
      </c>
      <c r="AR78" s="90" t="s">
        <v>703</v>
      </c>
      <c r="AS78" s="90" t="s">
        <v>703</v>
      </c>
      <c r="AT78" s="90" t="s">
        <v>703</v>
      </c>
      <c r="AU78" s="90" t="s">
        <v>703</v>
      </c>
      <c r="AV78" s="90" t="s">
        <v>703</v>
      </c>
      <c r="AW78" s="90" t="s">
        <v>703</v>
      </c>
      <c r="AX78" s="90" t="s">
        <v>702</v>
      </c>
      <c r="BA78" t="s">
        <v>1172</v>
      </c>
      <c r="BB78">
        <v>7</v>
      </c>
      <c r="BC78">
        <v>11</v>
      </c>
      <c r="BD78">
        <v>9</v>
      </c>
      <c r="BE78">
        <v>4</v>
      </c>
      <c r="BF78">
        <v>5</v>
      </c>
      <c r="BG78">
        <v>3</v>
      </c>
      <c r="BH78">
        <v>50</v>
      </c>
      <c r="BI78">
        <v>7</v>
      </c>
    </row>
    <row r="79" spans="1:62">
      <c r="A79" t="s">
        <v>1376</v>
      </c>
      <c r="E79" s="90">
        <f t="shared" si="17"/>
        <v>19</v>
      </c>
      <c r="F79" s="90">
        <f t="shared" si="18"/>
        <v>7</v>
      </c>
      <c r="G79" s="90">
        <f t="shared" si="19"/>
        <v>7</v>
      </c>
      <c r="H79" s="90">
        <f t="shared" si="20"/>
        <v>13</v>
      </c>
      <c r="I79" s="90">
        <f t="shared" si="21"/>
        <v>7</v>
      </c>
      <c r="J79" s="90">
        <f t="shared" si="22"/>
        <v>7</v>
      </c>
      <c r="K79" s="242">
        <f t="shared" si="23"/>
        <v>5</v>
      </c>
      <c r="L79" s="90">
        <f t="shared" si="24"/>
        <v>1</v>
      </c>
      <c r="M79" s="90">
        <f t="shared" si="25"/>
        <v>-4</v>
      </c>
      <c r="N79" s="90">
        <v>0</v>
      </c>
      <c r="O79" s="90" t="s">
        <v>702</v>
      </c>
      <c r="P79" s="90">
        <f t="shared" si="26"/>
        <v>7</v>
      </c>
      <c r="Q79" s="90">
        <f t="shared" si="27"/>
        <v>7</v>
      </c>
      <c r="R79" s="90">
        <f t="shared" si="28"/>
        <v>7</v>
      </c>
      <c r="S79" s="90">
        <f t="shared" si="29"/>
        <v>7</v>
      </c>
      <c r="T79" s="90">
        <f t="shared" si="30"/>
        <v>7</v>
      </c>
      <c r="U79" s="90">
        <f t="shared" si="31"/>
        <v>7</v>
      </c>
      <c r="V79" s="90"/>
      <c r="W79" s="90" t="s">
        <v>703</v>
      </c>
      <c r="X79" s="90" t="s">
        <v>703</v>
      </c>
      <c r="Y79" s="90" t="s">
        <v>703</v>
      </c>
      <c r="Z79" s="90" t="s">
        <v>703</v>
      </c>
      <c r="AA79" s="90" t="s">
        <v>703</v>
      </c>
      <c r="AB79" s="90" t="s">
        <v>703</v>
      </c>
      <c r="AC79" s="90" t="s">
        <v>703</v>
      </c>
      <c r="AD79" s="90" t="s">
        <v>703</v>
      </c>
      <c r="AE79" s="90" t="s">
        <v>703</v>
      </c>
      <c r="AF79" s="90" t="s">
        <v>703</v>
      </c>
      <c r="AG79" s="90" t="s">
        <v>703</v>
      </c>
      <c r="AH79" s="90" t="s">
        <v>703</v>
      </c>
      <c r="AI79" s="90" t="s">
        <v>703</v>
      </c>
      <c r="AJ79" s="90" t="s">
        <v>703</v>
      </c>
      <c r="AK79" s="90" t="s">
        <v>703</v>
      </c>
      <c r="AL79" s="90" t="s">
        <v>703</v>
      </c>
      <c r="AM79" s="90">
        <f t="shared" si="32"/>
        <v>0</v>
      </c>
      <c r="AN79" s="90" t="s">
        <v>703</v>
      </c>
      <c r="AO79" s="90" t="s">
        <v>703</v>
      </c>
      <c r="AP79" s="90" t="s">
        <v>703</v>
      </c>
      <c r="AQ79" s="90" t="s">
        <v>703</v>
      </c>
      <c r="AR79" s="90" t="s">
        <v>703</v>
      </c>
      <c r="AS79" s="90" t="s">
        <v>703</v>
      </c>
      <c r="AT79" s="90" t="s">
        <v>703</v>
      </c>
      <c r="AU79" s="90" t="s">
        <v>703</v>
      </c>
      <c r="AV79" s="90" t="s">
        <v>703</v>
      </c>
      <c r="AW79" s="90" t="s">
        <v>703</v>
      </c>
      <c r="AX79" s="90" t="s">
        <v>702</v>
      </c>
      <c r="BA79" t="s">
        <v>1376</v>
      </c>
      <c r="BB79">
        <v>7</v>
      </c>
      <c r="BC79">
        <v>11</v>
      </c>
      <c r="BD79">
        <v>9</v>
      </c>
      <c r="BE79">
        <v>7</v>
      </c>
      <c r="BF79">
        <v>7</v>
      </c>
      <c r="BG79">
        <v>5</v>
      </c>
      <c r="BH79">
        <v>60</v>
      </c>
      <c r="BI79">
        <v>7</v>
      </c>
    </row>
    <row r="80" spans="1:62">
      <c r="A80" t="s">
        <v>1901</v>
      </c>
      <c r="E80" s="90">
        <f t="shared" si="17"/>
        <v>1</v>
      </c>
      <c r="F80" s="90">
        <f t="shared" si="18"/>
        <v>7</v>
      </c>
      <c r="G80" s="90">
        <f t="shared" si="19"/>
        <v>7</v>
      </c>
      <c r="H80" s="90">
        <f t="shared" si="20"/>
        <v>-2</v>
      </c>
      <c r="I80" s="90">
        <f t="shared" si="21"/>
        <v>4</v>
      </c>
      <c r="J80" s="90">
        <f t="shared" si="22"/>
        <v>-2</v>
      </c>
      <c r="K80" s="242">
        <f t="shared" si="23"/>
        <v>1</v>
      </c>
      <c r="L80" s="90">
        <f t="shared" si="24"/>
        <v>1</v>
      </c>
      <c r="M80" s="90">
        <f t="shared" si="25"/>
        <v>-5</v>
      </c>
      <c r="N80" s="90">
        <v>0</v>
      </c>
      <c r="O80" s="90" t="s">
        <v>702</v>
      </c>
      <c r="P80" s="90">
        <f t="shared" si="26"/>
        <v>3</v>
      </c>
      <c r="Q80" s="90">
        <f t="shared" si="27"/>
        <v>3</v>
      </c>
      <c r="R80" s="90">
        <f t="shared" si="28"/>
        <v>3</v>
      </c>
      <c r="S80" s="90">
        <f t="shared" si="29"/>
        <v>3</v>
      </c>
      <c r="T80" s="90">
        <f t="shared" si="30"/>
        <v>3</v>
      </c>
      <c r="U80" s="90">
        <f t="shared" si="31"/>
        <v>3</v>
      </c>
      <c r="V80" s="90"/>
      <c r="W80" s="90" t="s">
        <v>703</v>
      </c>
      <c r="X80" s="90" t="s">
        <v>703</v>
      </c>
      <c r="Y80" s="90" t="s">
        <v>703</v>
      </c>
      <c r="Z80" s="90" t="s">
        <v>703</v>
      </c>
      <c r="AA80" s="90" t="s">
        <v>703</v>
      </c>
      <c r="AB80" s="90" t="s">
        <v>703</v>
      </c>
      <c r="AC80" s="90" t="s">
        <v>703</v>
      </c>
      <c r="AD80" s="90" t="s">
        <v>703</v>
      </c>
      <c r="AE80" s="90" t="s">
        <v>703</v>
      </c>
      <c r="AF80" s="90" t="s">
        <v>703</v>
      </c>
      <c r="AG80" s="90" t="s">
        <v>703</v>
      </c>
      <c r="AH80" s="90" t="s">
        <v>703</v>
      </c>
      <c r="AI80" s="90" t="s">
        <v>703</v>
      </c>
      <c r="AJ80" s="90" t="s">
        <v>703</v>
      </c>
      <c r="AK80" s="90" t="s">
        <v>703</v>
      </c>
      <c r="AL80" s="90" t="s">
        <v>703</v>
      </c>
      <c r="AM80" s="90">
        <f t="shared" si="32"/>
        <v>0</v>
      </c>
      <c r="AN80" s="90" t="s">
        <v>703</v>
      </c>
      <c r="AO80" s="90" t="s">
        <v>703</v>
      </c>
      <c r="AP80" s="90" t="s">
        <v>703</v>
      </c>
      <c r="AQ80" s="90" t="s">
        <v>703</v>
      </c>
      <c r="AR80" s="90" t="s">
        <v>703</v>
      </c>
      <c r="AS80" s="90" t="s">
        <v>703</v>
      </c>
      <c r="AT80" s="90" t="s">
        <v>703</v>
      </c>
      <c r="AU80" s="90" t="s">
        <v>703</v>
      </c>
      <c r="AV80" s="90" t="s">
        <v>703</v>
      </c>
      <c r="AW80" s="90" t="s">
        <v>703</v>
      </c>
      <c r="AX80" s="90" t="s">
        <v>702</v>
      </c>
      <c r="BA80" t="s">
        <v>1901</v>
      </c>
      <c r="BB80">
        <v>7</v>
      </c>
      <c r="BC80">
        <v>5</v>
      </c>
      <c r="BD80">
        <v>4</v>
      </c>
      <c r="BE80">
        <v>6</v>
      </c>
      <c r="BF80">
        <v>4</v>
      </c>
      <c r="BG80">
        <v>5</v>
      </c>
      <c r="BH80">
        <v>30</v>
      </c>
      <c r="BI80">
        <v>3</v>
      </c>
    </row>
    <row r="81" spans="1:62">
      <c r="A81" t="s">
        <v>1902</v>
      </c>
      <c r="E81" s="90">
        <f t="shared" si="17"/>
        <v>4</v>
      </c>
      <c r="F81" s="90">
        <f t="shared" si="18"/>
        <v>1</v>
      </c>
      <c r="G81" s="90">
        <f t="shared" si="19"/>
        <v>1</v>
      </c>
      <c r="H81" s="90">
        <f t="shared" si="20"/>
        <v>10</v>
      </c>
      <c r="I81" s="90">
        <f t="shared" si="21"/>
        <v>-2</v>
      </c>
      <c r="J81" s="90">
        <f t="shared" si="22"/>
        <v>1</v>
      </c>
      <c r="K81" s="242">
        <f t="shared" si="23"/>
        <v>-2</v>
      </c>
      <c r="L81" s="90">
        <f t="shared" si="24"/>
        <v>-5</v>
      </c>
      <c r="M81" s="90">
        <f t="shared" si="25"/>
        <v>-7</v>
      </c>
      <c r="N81" s="90">
        <v>0</v>
      </c>
      <c r="O81" s="90" t="s">
        <v>702</v>
      </c>
      <c r="P81" s="90">
        <f t="shared" si="26"/>
        <v>3</v>
      </c>
      <c r="Q81" s="90">
        <f t="shared" si="27"/>
        <v>3</v>
      </c>
      <c r="R81" s="90">
        <f t="shared" si="28"/>
        <v>3</v>
      </c>
      <c r="S81" s="90">
        <f t="shared" si="29"/>
        <v>3</v>
      </c>
      <c r="T81" s="90">
        <f t="shared" si="30"/>
        <v>3</v>
      </c>
      <c r="U81" s="90">
        <f t="shared" si="31"/>
        <v>3</v>
      </c>
      <c r="V81" s="90"/>
      <c r="W81" s="90" t="s">
        <v>703</v>
      </c>
      <c r="X81" s="90" t="s">
        <v>703</v>
      </c>
      <c r="Y81" s="90" t="s">
        <v>703</v>
      </c>
      <c r="Z81" s="90" t="s">
        <v>703</v>
      </c>
      <c r="AA81" s="90" t="s">
        <v>703</v>
      </c>
      <c r="AB81" s="90" t="s">
        <v>703</v>
      </c>
      <c r="AC81" s="90" t="s">
        <v>703</v>
      </c>
      <c r="AD81" s="90" t="s">
        <v>703</v>
      </c>
      <c r="AE81" s="90" t="s">
        <v>703</v>
      </c>
      <c r="AF81" s="90" t="s">
        <v>703</v>
      </c>
      <c r="AG81" s="90" t="s">
        <v>703</v>
      </c>
      <c r="AH81" s="90" t="s">
        <v>703</v>
      </c>
      <c r="AI81" s="90" t="s">
        <v>703</v>
      </c>
      <c r="AJ81" s="90" t="s">
        <v>703</v>
      </c>
      <c r="AK81" s="90" t="s">
        <v>703</v>
      </c>
      <c r="AL81" s="90" t="s">
        <v>703</v>
      </c>
      <c r="AM81" s="90" t="str">
        <f t="shared" si="32"/>
        <v>Plague</v>
      </c>
      <c r="AN81" s="90" t="s">
        <v>703</v>
      </c>
      <c r="AO81" s="90" t="s">
        <v>703</v>
      </c>
      <c r="AP81" s="90" t="s">
        <v>703</v>
      </c>
      <c r="AQ81" s="90" t="s">
        <v>703</v>
      </c>
      <c r="AR81" s="90" t="s">
        <v>703</v>
      </c>
      <c r="AS81" s="90" t="s">
        <v>703</v>
      </c>
      <c r="AT81" s="90" t="s">
        <v>703</v>
      </c>
      <c r="AU81" s="90" t="s">
        <v>703</v>
      </c>
      <c r="AV81" s="90" t="s">
        <v>703</v>
      </c>
      <c r="AW81" s="90" t="s">
        <v>703</v>
      </c>
      <c r="AX81" s="90" t="s">
        <v>702</v>
      </c>
      <c r="BA81" t="s">
        <v>1902</v>
      </c>
      <c r="BB81">
        <v>5</v>
      </c>
      <c r="BC81">
        <v>6</v>
      </c>
      <c r="BD81">
        <v>8</v>
      </c>
      <c r="BE81">
        <v>4</v>
      </c>
      <c r="BF81">
        <v>5</v>
      </c>
      <c r="BG81">
        <v>3</v>
      </c>
      <c r="BH81">
        <v>40</v>
      </c>
      <c r="BI81">
        <v>3</v>
      </c>
      <c r="BJ81" t="s">
        <v>2078</v>
      </c>
    </row>
    <row r="82" spans="1:62">
      <c r="A82" t="s">
        <v>2079</v>
      </c>
      <c r="E82" s="90">
        <f t="shared" si="17"/>
        <v>1</v>
      </c>
      <c r="F82" s="90">
        <f t="shared" si="18"/>
        <v>7</v>
      </c>
      <c r="G82" s="90">
        <f t="shared" si="19"/>
        <v>7</v>
      </c>
      <c r="H82" s="90">
        <f t="shared" si="20"/>
        <v>-2</v>
      </c>
      <c r="I82" s="90">
        <f t="shared" si="21"/>
        <v>-5</v>
      </c>
      <c r="J82" s="90">
        <f t="shared" si="22"/>
        <v>-5</v>
      </c>
      <c r="K82" s="242">
        <f t="shared" si="23"/>
        <v>-5</v>
      </c>
      <c r="L82" s="90">
        <f t="shared" si="24"/>
        <v>-5</v>
      </c>
      <c r="M82" s="90">
        <f t="shared" si="25"/>
        <v>-8</v>
      </c>
      <c r="N82" s="90">
        <v>0</v>
      </c>
      <c r="O82" s="90" t="s">
        <v>702</v>
      </c>
      <c r="P82" s="90">
        <f t="shared" si="26"/>
        <v>2</v>
      </c>
      <c r="Q82" s="90">
        <f t="shared" si="27"/>
        <v>2</v>
      </c>
      <c r="R82" s="90">
        <f t="shared" si="28"/>
        <v>2</v>
      </c>
      <c r="S82" s="90">
        <f t="shared" si="29"/>
        <v>2</v>
      </c>
      <c r="T82" s="90">
        <f t="shared" si="30"/>
        <v>2</v>
      </c>
      <c r="U82" s="90">
        <f t="shared" si="31"/>
        <v>2</v>
      </c>
      <c r="V82" s="90"/>
      <c r="W82" s="90" t="s">
        <v>703</v>
      </c>
      <c r="X82" s="90" t="s">
        <v>703</v>
      </c>
      <c r="Y82" s="90" t="s">
        <v>703</v>
      </c>
      <c r="Z82" s="90" t="s">
        <v>703</v>
      </c>
      <c r="AA82" s="90" t="s">
        <v>703</v>
      </c>
      <c r="AB82" s="90" t="s">
        <v>703</v>
      </c>
      <c r="AC82" s="90" t="s">
        <v>703</v>
      </c>
      <c r="AD82" s="90" t="s">
        <v>703</v>
      </c>
      <c r="AE82" s="90" t="s">
        <v>703</v>
      </c>
      <c r="AF82" s="90" t="s">
        <v>703</v>
      </c>
      <c r="AG82" s="90" t="s">
        <v>703</v>
      </c>
      <c r="AH82" s="90" t="s">
        <v>703</v>
      </c>
      <c r="AI82" s="90" t="s">
        <v>703</v>
      </c>
      <c r="AJ82" s="90" t="s">
        <v>703</v>
      </c>
      <c r="AK82" s="90" t="s">
        <v>703</v>
      </c>
      <c r="AL82" s="90" t="s">
        <v>703</v>
      </c>
      <c r="AM82" s="90" t="str">
        <f t="shared" si="32"/>
        <v>Poison</v>
      </c>
      <c r="AN82" s="90" t="s">
        <v>703</v>
      </c>
      <c r="AO82" s="90" t="s">
        <v>703</v>
      </c>
      <c r="AP82" s="90" t="s">
        <v>703</v>
      </c>
      <c r="AQ82" s="90" t="s">
        <v>703</v>
      </c>
      <c r="AR82" s="90" t="s">
        <v>703</v>
      </c>
      <c r="AS82" s="90" t="s">
        <v>703</v>
      </c>
      <c r="AT82" s="90" t="s">
        <v>703</v>
      </c>
      <c r="AU82" s="90" t="s">
        <v>703</v>
      </c>
      <c r="AV82" s="90" t="s">
        <v>703</v>
      </c>
      <c r="AW82" s="90" t="s">
        <v>703</v>
      </c>
      <c r="AX82" s="90" t="s">
        <v>702</v>
      </c>
      <c r="BA82" t="s">
        <v>2079</v>
      </c>
      <c r="BB82">
        <v>7</v>
      </c>
      <c r="BC82">
        <v>5</v>
      </c>
      <c r="BD82">
        <v>4</v>
      </c>
      <c r="BE82">
        <v>3</v>
      </c>
      <c r="BF82">
        <v>3</v>
      </c>
      <c r="BG82">
        <v>3</v>
      </c>
      <c r="BH82">
        <v>25</v>
      </c>
      <c r="BI82">
        <v>2</v>
      </c>
      <c r="BJ82" t="s">
        <v>2368</v>
      </c>
    </row>
    <row r="83" spans="1:62">
      <c r="A83" t="s">
        <v>2080</v>
      </c>
      <c r="E83" s="90">
        <f t="shared" si="17"/>
        <v>7</v>
      </c>
      <c r="F83" s="90">
        <f t="shared" si="18"/>
        <v>7</v>
      </c>
      <c r="G83" s="90">
        <f t="shared" si="19"/>
        <v>7</v>
      </c>
      <c r="H83" s="90">
        <f t="shared" si="20"/>
        <v>4</v>
      </c>
      <c r="I83" s="90">
        <f t="shared" si="21"/>
        <v>-2</v>
      </c>
      <c r="J83" s="90">
        <f t="shared" si="22"/>
        <v>-2</v>
      </c>
      <c r="K83" s="242">
        <f t="shared" si="23"/>
        <v>0</v>
      </c>
      <c r="L83" s="90">
        <f t="shared" si="24"/>
        <v>4</v>
      </c>
      <c r="M83" s="90">
        <f t="shared" si="25"/>
        <v>-7</v>
      </c>
      <c r="N83" s="90">
        <v>0</v>
      </c>
      <c r="O83" s="90" t="s">
        <v>702</v>
      </c>
      <c r="P83" s="90">
        <f t="shared" si="26"/>
        <v>3</v>
      </c>
      <c r="Q83" s="90">
        <f t="shared" si="27"/>
        <v>3</v>
      </c>
      <c r="R83" s="90">
        <f t="shared" si="28"/>
        <v>3</v>
      </c>
      <c r="S83" s="90">
        <f t="shared" si="29"/>
        <v>3</v>
      </c>
      <c r="T83" s="90">
        <f t="shared" si="30"/>
        <v>3</v>
      </c>
      <c r="U83" s="90">
        <f t="shared" si="31"/>
        <v>3</v>
      </c>
      <c r="V83" s="90"/>
      <c r="W83" s="90" t="s">
        <v>703</v>
      </c>
      <c r="X83" s="90" t="s">
        <v>703</v>
      </c>
      <c r="Y83" s="90" t="s">
        <v>703</v>
      </c>
      <c r="Z83" s="90" t="s">
        <v>703</v>
      </c>
      <c r="AA83" s="90" t="s">
        <v>703</v>
      </c>
      <c r="AB83" s="90" t="s">
        <v>703</v>
      </c>
      <c r="AC83" s="90" t="s">
        <v>703</v>
      </c>
      <c r="AD83" s="90" t="s">
        <v>703</v>
      </c>
      <c r="AE83" s="90" t="s">
        <v>703</v>
      </c>
      <c r="AF83" s="90" t="s">
        <v>703</v>
      </c>
      <c r="AG83" s="90" t="s">
        <v>703</v>
      </c>
      <c r="AH83" s="90" t="s">
        <v>703</v>
      </c>
      <c r="AI83" s="90" t="s">
        <v>703</v>
      </c>
      <c r="AJ83" s="90" t="s">
        <v>703</v>
      </c>
      <c r="AK83" s="90" t="s">
        <v>703</v>
      </c>
      <c r="AL83" s="90" t="s">
        <v>703</v>
      </c>
      <c r="AM83" s="90">
        <f t="shared" si="32"/>
        <v>0</v>
      </c>
      <c r="AN83" s="90" t="s">
        <v>703</v>
      </c>
      <c r="AO83" s="90" t="s">
        <v>703</v>
      </c>
      <c r="AP83" s="90" t="s">
        <v>703</v>
      </c>
      <c r="AQ83" s="90" t="s">
        <v>703</v>
      </c>
      <c r="AR83" s="90" t="s">
        <v>703</v>
      </c>
      <c r="AS83" s="90" t="s">
        <v>703</v>
      </c>
      <c r="AT83" s="90" t="s">
        <v>703</v>
      </c>
      <c r="AU83" s="90" t="s">
        <v>703</v>
      </c>
      <c r="AV83" s="90" t="s">
        <v>703</v>
      </c>
      <c r="AW83" s="90" t="s">
        <v>703</v>
      </c>
      <c r="AX83" s="90" t="s">
        <v>702</v>
      </c>
      <c r="BA83" t="s">
        <v>2080</v>
      </c>
      <c r="BB83">
        <v>7</v>
      </c>
      <c r="BC83">
        <v>7</v>
      </c>
      <c r="BD83">
        <v>6</v>
      </c>
      <c r="BE83">
        <v>4</v>
      </c>
      <c r="BF83">
        <v>4</v>
      </c>
      <c r="BG83">
        <v>6</v>
      </c>
      <c r="BH83">
        <v>40</v>
      </c>
      <c r="BI83">
        <v>3</v>
      </c>
    </row>
    <row r="84" spans="1:62">
      <c r="A84" t="s">
        <v>1886</v>
      </c>
      <c r="E84" s="90">
        <f t="shared" si="17"/>
        <v>-2</v>
      </c>
      <c r="F84" s="90">
        <f t="shared" si="18"/>
        <v>-2</v>
      </c>
      <c r="G84" s="90">
        <f t="shared" si="19"/>
        <v>-2</v>
      </c>
      <c r="H84" s="90">
        <f t="shared" si="20"/>
        <v>1</v>
      </c>
      <c r="I84" s="90">
        <f t="shared" si="21"/>
        <v>-5</v>
      </c>
      <c r="J84" s="90">
        <f t="shared" si="22"/>
        <v>-2</v>
      </c>
      <c r="K84" s="242">
        <f t="shared" si="23"/>
        <v>-3</v>
      </c>
      <c r="L84" s="90">
        <f t="shared" si="24"/>
        <v>-2</v>
      </c>
      <c r="M84" s="90">
        <f t="shared" si="25"/>
        <v>-8</v>
      </c>
      <c r="N84" s="90">
        <v>0</v>
      </c>
      <c r="O84" s="90" t="s">
        <v>702</v>
      </c>
      <c r="P84" s="90">
        <f t="shared" si="26"/>
        <v>6</v>
      </c>
      <c r="Q84" s="90">
        <f t="shared" si="27"/>
        <v>6</v>
      </c>
      <c r="R84" s="90">
        <f t="shared" si="28"/>
        <v>6</v>
      </c>
      <c r="S84" s="90">
        <f t="shared" si="29"/>
        <v>6</v>
      </c>
      <c r="T84" s="90">
        <f t="shared" si="30"/>
        <v>6</v>
      </c>
      <c r="U84" s="90">
        <f t="shared" si="31"/>
        <v>6</v>
      </c>
      <c r="V84" s="90"/>
      <c r="W84" s="90" t="s">
        <v>703</v>
      </c>
      <c r="X84" s="90" t="s">
        <v>703</v>
      </c>
      <c r="Y84" s="90" t="s">
        <v>703</v>
      </c>
      <c r="Z84" s="90" t="s">
        <v>703</v>
      </c>
      <c r="AA84" s="90" t="s">
        <v>703</v>
      </c>
      <c r="AB84" s="90" t="s">
        <v>703</v>
      </c>
      <c r="AC84" s="90" t="s">
        <v>703</v>
      </c>
      <c r="AD84" s="90" t="s">
        <v>703</v>
      </c>
      <c r="AE84" s="90" t="s">
        <v>703</v>
      </c>
      <c r="AF84" s="90" t="s">
        <v>703</v>
      </c>
      <c r="AG84" s="90" t="s">
        <v>703</v>
      </c>
      <c r="AH84" s="90" t="s">
        <v>703</v>
      </c>
      <c r="AI84" s="90" t="s">
        <v>703</v>
      </c>
      <c r="AJ84" s="90" t="s">
        <v>703</v>
      </c>
      <c r="AK84" s="90" t="s">
        <v>703</v>
      </c>
      <c r="AL84" s="90" t="s">
        <v>703</v>
      </c>
      <c r="AM84" s="90">
        <f t="shared" si="32"/>
        <v>0</v>
      </c>
      <c r="AN84" s="90" t="s">
        <v>703</v>
      </c>
      <c r="AO84" s="90" t="s">
        <v>703</v>
      </c>
      <c r="AP84" s="90" t="s">
        <v>703</v>
      </c>
      <c r="AQ84" s="90" t="s">
        <v>703</v>
      </c>
      <c r="AR84" s="90" t="s">
        <v>703</v>
      </c>
      <c r="AS84" s="90" t="s">
        <v>703</v>
      </c>
      <c r="AT84" s="90" t="s">
        <v>703</v>
      </c>
      <c r="AU84" s="90" t="s">
        <v>703</v>
      </c>
      <c r="AV84" s="90" t="s">
        <v>703</v>
      </c>
      <c r="AW84" s="90" t="s">
        <v>703</v>
      </c>
      <c r="AX84" s="90" t="s">
        <v>702</v>
      </c>
      <c r="BA84" t="s">
        <v>1886</v>
      </c>
      <c r="BB84">
        <v>4</v>
      </c>
      <c r="BC84">
        <v>4</v>
      </c>
      <c r="BD84">
        <v>5</v>
      </c>
      <c r="BE84">
        <v>3</v>
      </c>
      <c r="BF84">
        <v>4</v>
      </c>
      <c r="BG84">
        <v>4</v>
      </c>
      <c r="BH84">
        <v>30</v>
      </c>
      <c r="BI84">
        <v>6</v>
      </c>
    </row>
    <row r="85" spans="1:62">
      <c r="A85" t="s">
        <v>1909</v>
      </c>
      <c r="E85" s="90">
        <f t="shared" si="17"/>
        <v>-8</v>
      </c>
      <c r="F85" s="90">
        <f t="shared" si="18"/>
        <v>4</v>
      </c>
      <c r="G85" s="90">
        <f t="shared" si="19"/>
        <v>4</v>
      </c>
      <c r="H85" s="90">
        <f t="shared" si="20"/>
        <v>-5</v>
      </c>
      <c r="I85" s="90">
        <f t="shared" si="21"/>
        <v>10</v>
      </c>
      <c r="J85" s="90">
        <f t="shared" si="22"/>
        <v>4</v>
      </c>
      <c r="K85" s="242">
        <f t="shared" si="23"/>
        <v>6</v>
      </c>
      <c r="L85" s="90">
        <f t="shared" si="24"/>
        <v>4</v>
      </c>
      <c r="M85" s="90">
        <f t="shared" si="25"/>
        <v>-3</v>
      </c>
      <c r="N85" s="90">
        <v>0</v>
      </c>
      <c r="O85" s="90" t="s">
        <v>702</v>
      </c>
      <c r="P85" s="90">
        <f t="shared" si="26"/>
        <v>1</v>
      </c>
      <c r="Q85" s="90">
        <f t="shared" si="27"/>
        <v>1</v>
      </c>
      <c r="R85" s="90">
        <f t="shared" si="28"/>
        <v>1</v>
      </c>
      <c r="S85" s="90">
        <f t="shared" si="29"/>
        <v>1</v>
      </c>
      <c r="T85" s="90">
        <f t="shared" si="30"/>
        <v>1</v>
      </c>
      <c r="U85" s="90">
        <f t="shared" si="31"/>
        <v>1</v>
      </c>
      <c r="V85" s="90"/>
      <c r="W85" s="90" t="s">
        <v>703</v>
      </c>
      <c r="X85" s="90" t="s">
        <v>703</v>
      </c>
      <c r="Y85" s="90" t="s">
        <v>703</v>
      </c>
      <c r="Z85" s="90" t="s">
        <v>703</v>
      </c>
      <c r="AA85" s="90" t="s">
        <v>703</v>
      </c>
      <c r="AB85" s="90" t="s">
        <v>703</v>
      </c>
      <c r="AC85" s="90" t="s">
        <v>703</v>
      </c>
      <c r="AD85" s="90" t="s">
        <v>703</v>
      </c>
      <c r="AE85" s="90" t="s">
        <v>703</v>
      </c>
      <c r="AF85" s="90" t="s">
        <v>703</v>
      </c>
      <c r="AG85" s="90" t="s">
        <v>703</v>
      </c>
      <c r="AH85" s="90" t="s">
        <v>703</v>
      </c>
      <c r="AI85" s="90" t="s">
        <v>703</v>
      </c>
      <c r="AJ85" s="90" t="s">
        <v>703</v>
      </c>
      <c r="AK85" s="90" t="s">
        <v>703</v>
      </c>
      <c r="AL85" s="90" t="s">
        <v>703</v>
      </c>
      <c r="AM85" s="90">
        <f t="shared" si="32"/>
        <v>0</v>
      </c>
      <c r="AN85" s="90" t="s">
        <v>703</v>
      </c>
      <c r="AO85" s="90" t="s">
        <v>703</v>
      </c>
      <c r="AP85" s="90" t="s">
        <v>703</v>
      </c>
      <c r="AQ85" s="90" t="s">
        <v>703</v>
      </c>
      <c r="AR85" s="90" t="s">
        <v>703</v>
      </c>
      <c r="AS85" s="90" t="s">
        <v>703</v>
      </c>
      <c r="AT85" s="90" t="s">
        <v>703</v>
      </c>
      <c r="AU85" s="90" t="s">
        <v>703</v>
      </c>
      <c r="AV85" s="90" t="s">
        <v>703</v>
      </c>
      <c r="AW85" s="90" t="s">
        <v>703</v>
      </c>
      <c r="AX85" s="90" t="s">
        <v>702</v>
      </c>
      <c r="BA85" t="s">
        <v>1909</v>
      </c>
      <c r="BB85">
        <v>6</v>
      </c>
      <c r="BC85">
        <v>2</v>
      </c>
      <c r="BD85">
        <v>3</v>
      </c>
      <c r="BE85">
        <v>8</v>
      </c>
      <c r="BF85">
        <v>6</v>
      </c>
      <c r="BG85">
        <v>6</v>
      </c>
      <c r="BH85">
        <v>20</v>
      </c>
      <c r="BI85">
        <v>1</v>
      </c>
    </row>
    <row r="86" spans="1:62">
      <c r="A86" t="s">
        <v>1035</v>
      </c>
      <c r="E86" s="90">
        <f t="shared" si="17"/>
        <v>16</v>
      </c>
      <c r="F86" s="90">
        <f t="shared" si="18"/>
        <v>1</v>
      </c>
      <c r="G86" s="90">
        <f t="shared" si="19"/>
        <v>1</v>
      </c>
      <c r="H86" s="90">
        <f t="shared" si="20"/>
        <v>16</v>
      </c>
      <c r="I86" s="90">
        <f t="shared" si="21"/>
        <v>-5</v>
      </c>
      <c r="J86" s="90">
        <f t="shared" si="22"/>
        <v>4</v>
      </c>
      <c r="K86" s="242">
        <f t="shared" si="23"/>
        <v>0</v>
      </c>
      <c r="L86" s="90">
        <f t="shared" si="24"/>
        <v>1</v>
      </c>
      <c r="M86" s="90">
        <f t="shared" si="25"/>
        <v>-8</v>
      </c>
      <c r="N86" s="90">
        <v>0</v>
      </c>
      <c r="O86" s="90" t="s">
        <v>702</v>
      </c>
      <c r="P86" s="90">
        <f t="shared" si="26"/>
        <v>0</v>
      </c>
      <c r="Q86" s="90">
        <f t="shared" si="27"/>
        <v>0</v>
      </c>
      <c r="R86" s="90">
        <f t="shared" si="28"/>
        <v>0</v>
      </c>
      <c r="S86" s="90">
        <f t="shared" si="29"/>
        <v>0</v>
      </c>
      <c r="T86" s="90">
        <f t="shared" si="30"/>
        <v>0</v>
      </c>
      <c r="U86" s="90">
        <f t="shared" si="31"/>
        <v>0</v>
      </c>
      <c r="V86" s="90"/>
      <c r="W86" s="90" t="s">
        <v>703</v>
      </c>
      <c r="X86" s="90" t="s">
        <v>703</v>
      </c>
      <c r="Y86" s="90" t="s">
        <v>703</v>
      </c>
      <c r="Z86" s="90" t="s">
        <v>703</v>
      </c>
      <c r="AA86" s="90" t="s">
        <v>703</v>
      </c>
      <c r="AB86" s="90" t="s">
        <v>703</v>
      </c>
      <c r="AC86" s="90" t="s">
        <v>703</v>
      </c>
      <c r="AD86" s="90" t="s">
        <v>703</v>
      </c>
      <c r="AE86" s="90" t="s">
        <v>703</v>
      </c>
      <c r="AF86" s="90" t="s">
        <v>703</v>
      </c>
      <c r="AG86" s="90" t="s">
        <v>703</v>
      </c>
      <c r="AH86" s="90" t="s">
        <v>703</v>
      </c>
      <c r="AI86" s="90" t="s">
        <v>703</v>
      </c>
      <c r="AJ86" s="90" t="s">
        <v>703</v>
      </c>
      <c r="AK86" s="90" t="s">
        <v>703</v>
      </c>
      <c r="AL86" s="90" t="s">
        <v>703</v>
      </c>
      <c r="AM86" s="90">
        <f t="shared" si="32"/>
        <v>0</v>
      </c>
      <c r="AN86" s="90" t="s">
        <v>703</v>
      </c>
      <c r="AO86" s="90" t="s">
        <v>703</v>
      </c>
      <c r="AP86" s="90" t="s">
        <v>703</v>
      </c>
      <c r="AQ86" s="90" t="s">
        <v>703</v>
      </c>
      <c r="AR86" s="90" t="s">
        <v>703</v>
      </c>
      <c r="AS86" s="90" t="s">
        <v>703</v>
      </c>
      <c r="AT86" s="90" t="s">
        <v>703</v>
      </c>
      <c r="AU86" s="90" t="s">
        <v>703</v>
      </c>
      <c r="AV86" s="90" t="s">
        <v>703</v>
      </c>
      <c r="AW86" s="90" t="s">
        <v>703</v>
      </c>
      <c r="AX86" s="90" t="s">
        <v>702</v>
      </c>
      <c r="BA86" t="s">
        <v>1035</v>
      </c>
      <c r="BB86">
        <v>5</v>
      </c>
      <c r="BC86">
        <v>10</v>
      </c>
      <c r="BD86">
        <v>10</v>
      </c>
      <c r="BE86">
        <v>3</v>
      </c>
      <c r="BF86">
        <v>6</v>
      </c>
      <c r="BG86">
        <v>5</v>
      </c>
    </row>
    <row r="87" spans="1:62">
      <c r="A87" t="s">
        <v>1807</v>
      </c>
      <c r="E87" s="90">
        <f t="shared" si="17"/>
        <v>7</v>
      </c>
      <c r="F87" s="90">
        <f t="shared" si="18"/>
        <v>10</v>
      </c>
      <c r="G87" s="90">
        <f t="shared" si="19"/>
        <v>10</v>
      </c>
      <c r="H87" s="90">
        <f t="shared" si="20"/>
        <v>1</v>
      </c>
      <c r="I87" s="90">
        <f t="shared" si="21"/>
        <v>1</v>
      </c>
      <c r="J87" s="90">
        <f t="shared" si="22"/>
        <v>1</v>
      </c>
      <c r="K87" s="242">
        <f t="shared" si="23"/>
        <v>0</v>
      </c>
      <c r="L87" s="90">
        <f t="shared" si="24"/>
        <v>-2</v>
      </c>
      <c r="M87" s="90">
        <f t="shared" si="25"/>
        <v>-6</v>
      </c>
      <c r="N87" s="90">
        <v>0</v>
      </c>
      <c r="O87" s="90" t="s">
        <v>702</v>
      </c>
      <c r="P87" s="90">
        <f t="shared" si="26"/>
        <v>4</v>
      </c>
      <c r="Q87" s="90">
        <f t="shared" si="27"/>
        <v>4</v>
      </c>
      <c r="R87" s="90">
        <f t="shared" si="28"/>
        <v>4</v>
      </c>
      <c r="S87" s="90">
        <f t="shared" si="29"/>
        <v>4</v>
      </c>
      <c r="T87" s="90">
        <f t="shared" si="30"/>
        <v>4</v>
      </c>
      <c r="U87" s="90">
        <f t="shared" si="31"/>
        <v>4</v>
      </c>
      <c r="V87" s="90"/>
      <c r="W87" s="90" t="s">
        <v>703</v>
      </c>
      <c r="X87" s="90" t="s">
        <v>703</v>
      </c>
      <c r="Y87" s="90" t="s">
        <v>703</v>
      </c>
      <c r="Z87" s="90" t="s">
        <v>703</v>
      </c>
      <c r="AA87" s="90" t="s">
        <v>703</v>
      </c>
      <c r="AB87" s="90" t="s">
        <v>703</v>
      </c>
      <c r="AC87" s="90" t="s">
        <v>703</v>
      </c>
      <c r="AD87" s="90" t="s">
        <v>703</v>
      </c>
      <c r="AE87" s="90" t="s">
        <v>703</v>
      </c>
      <c r="AF87" s="90" t="s">
        <v>703</v>
      </c>
      <c r="AG87" s="90" t="s">
        <v>703</v>
      </c>
      <c r="AH87" s="90" t="s">
        <v>703</v>
      </c>
      <c r="AI87" s="90" t="s">
        <v>703</v>
      </c>
      <c r="AJ87" s="90" t="s">
        <v>703</v>
      </c>
      <c r="AK87" s="90" t="s">
        <v>703</v>
      </c>
      <c r="AL87" s="90" t="s">
        <v>703</v>
      </c>
      <c r="AM87" s="90">
        <f t="shared" si="32"/>
        <v>0</v>
      </c>
      <c r="AN87" s="90" t="s">
        <v>703</v>
      </c>
      <c r="AO87" s="90" t="s">
        <v>703</v>
      </c>
      <c r="AP87" s="90" t="s">
        <v>703</v>
      </c>
      <c r="AQ87" s="90" t="s">
        <v>703</v>
      </c>
      <c r="AR87" s="90" t="s">
        <v>703</v>
      </c>
      <c r="AS87" s="90" t="s">
        <v>703</v>
      </c>
      <c r="AT87" s="90" t="s">
        <v>703</v>
      </c>
      <c r="AU87" s="90" t="s">
        <v>703</v>
      </c>
      <c r="AV87" s="90" t="s">
        <v>703</v>
      </c>
      <c r="AW87" s="90" t="s">
        <v>703</v>
      </c>
      <c r="AX87" s="90" t="s">
        <v>702</v>
      </c>
      <c r="BA87" t="s">
        <v>1807</v>
      </c>
      <c r="BB87">
        <v>8</v>
      </c>
      <c r="BC87">
        <v>7</v>
      </c>
      <c r="BD87">
        <v>5</v>
      </c>
      <c r="BE87">
        <v>5</v>
      </c>
      <c r="BF87">
        <v>5</v>
      </c>
      <c r="BG87">
        <v>4</v>
      </c>
      <c r="BH87">
        <v>45</v>
      </c>
      <c r="BI87">
        <v>4</v>
      </c>
    </row>
    <row r="88" spans="1:62">
      <c r="A88" t="s">
        <v>1808</v>
      </c>
      <c r="E88" s="90">
        <f t="shared" si="17"/>
        <v>16</v>
      </c>
      <c r="F88" s="90">
        <f t="shared" si="18"/>
        <v>10</v>
      </c>
      <c r="G88" s="90">
        <f t="shared" si="19"/>
        <v>10</v>
      </c>
      <c r="H88" s="90">
        <f t="shared" si="20"/>
        <v>13</v>
      </c>
      <c r="I88" s="90">
        <f t="shared" si="21"/>
        <v>-5</v>
      </c>
      <c r="J88" s="90">
        <f t="shared" si="22"/>
        <v>-2</v>
      </c>
      <c r="K88" s="242">
        <f t="shared" si="23"/>
        <v>-4</v>
      </c>
      <c r="L88" s="90">
        <f t="shared" si="24"/>
        <v>-5</v>
      </c>
      <c r="M88" s="90">
        <f t="shared" si="25"/>
        <v>-8</v>
      </c>
      <c r="N88" s="90">
        <v>0</v>
      </c>
      <c r="O88" s="90" t="s">
        <v>702</v>
      </c>
      <c r="P88" s="90">
        <f t="shared" si="26"/>
        <v>8</v>
      </c>
      <c r="Q88" s="90">
        <f t="shared" si="27"/>
        <v>8</v>
      </c>
      <c r="R88" s="90">
        <f t="shared" si="28"/>
        <v>8</v>
      </c>
      <c r="S88" s="90">
        <f t="shared" si="29"/>
        <v>8</v>
      </c>
      <c r="T88" s="90">
        <f t="shared" si="30"/>
        <v>8</v>
      </c>
      <c r="U88" s="90">
        <f t="shared" si="31"/>
        <v>8</v>
      </c>
      <c r="V88" s="90"/>
      <c r="W88" s="90" t="s">
        <v>703</v>
      </c>
      <c r="X88" s="90" t="s">
        <v>703</v>
      </c>
      <c r="Y88" s="90" t="s">
        <v>703</v>
      </c>
      <c r="Z88" s="90" t="s">
        <v>703</v>
      </c>
      <c r="AA88" s="90" t="s">
        <v>703</v>
      </c>
      <c r="AB88" s="90" t="s">
        <v>703</v>
      </c>
      <c r="AC88" s="90" t="s">
        <v>703</v>
      </c>
      <c r="AD88" s="90" t="s">
        <v>703</v>
      </c>
      <c r="AE88" s="90" t="s">
        <v>703</v>
      </c>
      <c r="AF88" s="90" t="s">
        <v>703</v>
      </c>
      <c r="AG88" s="90" t="s">
        <v>703</v>
      </c>
      <c r="AH88" s="90" t="s">
        <v>703</v>
      </c>
      <c r="AI88" s="90" t="s">
        <v>703</v>
      </c>
      <c r="AJ88" s="90" t="s">
        <v>703</v>
      </c>
      <c r="AK88" s="90" t="s">
        <v>703</v>
      </c>
      <c r="AL88" s="90" t="s">
        <v>703</v>
      </c>
      <c r="AM88" s="90">
        <f t="shared" si="32"/>
        <v>0</v>
      </c>
      <c r="AN88" s="90" t="s">
        <v>703</v>
      </c>
      <c r="AO88" s="90" t="s">
        <v>703</v>
      </c>
      <c r="AP88" s="90" t="s">
        <v>703</v>
      </c>
      <c r="AQ88" s="90" t="s">
        <v>703</v>
      </c>
      <c r="AR88" s="90" t="s">
        <v>703</v>
      </c>
      <c r="AS88" s="90" t="s">
        <v>703</v>
      </c>
      <c r="AT88" s="90" t="s">
        <v>703</v>
      </c>
      <c r="AU88" s="90" t="s">
        <v>703</v>
      </c>
      <c r="AV88" s="90" t="s">
        <v>703</v>
      </c>
      <c r="AW88" s="90" t="s">
        <v>703</v>
      </c>
      <c r="AX88" s="90" t="s">
        <v>702</v>
      </c>
      <c r="BA88" t="s">
        <v>1808</v>
      </c>
      <c r="BB88">
        <v>8</v>
      </c>
      <c r="BC88">
        <v>10</v>
      </c>
      <c r="BD88">
        <v>9</v>
      </c>
      <c r="BE88">
        <v>3</v>
      </c>
      <c r="BF88">
        <v>4</v>
      </c>
      <c r="BG88">
        <v>3</v>
      </c>
      <c r="BH88">
        <v>80</v>
      </c>
      <c r="BI88">
        <v>8</v>
      </c>
    </row>
    <row r="89" spans="1:62">
      <c r="A89" t="s">
        <v>2122</v>
      </c>
      <c r="E89" s="90">
        <f t="shared" si="17"/>
        <v>-14</v>
      </c>
      <c r="F89" s="90">
        <f t="shared" si="18"/>
        <v>16</v>
      </c>
      <c r="G89" s="90">
        <f t="shared" si="19"/>
        <v>16</v>
      </c>
      <c r="H89" s="90">
        <f t="shared" si="20"/>
        <v>-14</v>
      </c>
      <c r="I89" s="90">
        <f t="shared" si="21"/>
        <v>4</v>
      </c>
      <c r="J89" s="90">
        <f t="shared" si="22"/>
        <v>10</v>
      </c>
      <c r="K89" s="242">
        <f t="shared" si="23"/>
        <v>8</v>
      </c>
      <c r="L89" s="90">
        <f t="shared" si="24"/>
        <v>10</v>
      </c>
      <c r="M89" s="90">
        <f t="shared" si="25"/>
        <v>-5</v>
      </c>
      <c r="N89" s="90">
        <v>0</v>
      </c>
      <c r="O89" s="90" t="s">
        <v>702</v>
      </c>
      <c r="P89" s="90">
        <f t="shared" si="26"/>
        <v>0</v>
      </c>
      <c r="Q89" s="90">
        <f t="shared" si="27"/>
        <v>0</v>
      </c>
      <c r="R89" s="90">
        <f t="shared" si="28"/>
        <v>0</v>
      </c>
      <c r="S89" s="90">
        <f t="shared" si="29"/>
        <v>0</v>
      </c>
      <c r="T89" s="90">
        <f t="shared" si="30"/>
        <v>0</v>
      </c>
      <c r="U89" s="90">
        <f t="shared" si="31"/>
        <v>0</v>
      </c>
      <c r="V89" s="90"/>
      <c r="W89" s="90" t="s">
        <v>703</v>
      </c>
      <c r="X89" s="90" t="s">
        <v>703</v>
      </c>
      <c r="Y89" s="90" t="s">
        <v>703</v>
      </c>
      <c r="Z89" s="90" t="s">
        <v>703</v>
      </c>
      <c r="AA89" s="90" t="s">
        <v>703</v>
      </c>
      <c r="AB89" s="90" t="s">
        <v>703</v>
      </c>
      <c r="AC89" s="90" t="s">
        <v>703</v>
      </c>
      <c r="AD89" s="90" t="s">
        <v>703</v>
      </c>
      <c r="AE89" s="90" t="s">
        <v>703</v>
      </c>
      <c r="AF89" s="90" t="s">
        <v>703</v>
      </c>
      <c r="AG89" s="90" t="s">
        <v>703</v>
      </c>
      <c r="AH89" s="90" t="s">
        <v>703</v>
      </c>
      <c r="AI89" s="90" t="s">
        <v>703</v>
      </c>
      <c r="AJ89" s="90" t="s">
        <v>703</v>
      </c>
      <c r="AK89" s="90" t="s">
        <v>703</v>
      </c>
      <c r="AL89" s="90" t="s">
        <v>703</v>
      </c>
      <c r="AM89" s="90" t="str">
        <f t="shared" si="32"/>
        <v>control victim</v>
      </c>
      <c r="AN89" s="90" t="s">
        <v>703</v>
      </c>
      <c r="AO89" s="90" t="s">
        <v>703</v>
      </c>
      <c r="AP89" s="90" t="s">
        <v>703</v>
      </c>
      <c r="AQ89" s="90" t="s">
        <v>703</v>
      </c>
      <c r="AR89" s="90" t="s">
        <v>703</v>
      </c>
      <c r="AS89" s="90" t="s">
        <v>703</v>
      </c>
      <c r="AT89" s="90" t="s">
        <v>703</v>
      </c>
      <c r="AU89" s="90" t="s">
        <v>703</v>
      </c>
      <c r="AV89" s="90" t="s">
        <v>703</v>
      </c>
      <c r="AW89" s="90" t="s">
        <v>703</v>
      </c>
      <c r="AX89" s="90" t="s">
        <v>702</v>
      </c>
      <c r="BA89" t="s">
        <v>2122</v>
      </c>
      <c r="BB89">
        <v>10</v>
      </c>
      <c r="BC89">
        <v>0</v>
      </c>
      <c r="BD89">
        <v>0</v>
      </c>
      <c r="BE89">
        <v>6</v>
      </c>
      <c r="BF89">
        <v>8</v>
      </c>
      <c r="BG89">
        <v>8</v>
      </c>
      <c r="BH89">
        <v>0</v>
      </c>
      <c r="BI89">
        <v>0</v>
      </c>
      <c r="BJ89" t="s">
        <v>2063</v>
      </c>
    </row>
    <row r="90" spans="1:62">
      <c r="A90" t="s">
        <v>1661</v>
      </c>
      <c r="E90" s="90">
        <f t="shared" si="17"/>
        <v>1</v>
      </c>
      <c r="F90" s="90">
        <f t="shared" si="18"/>
        <v>1</v>
      </c>
      <c r="G90" s="90">
        <f t="shared" si="19"/>
        <v>1</v>
      </c>
      <c r="H90" s="90">
        <f t="shared" si="20"/>
        <v>4</v>
      </c>
      <c r="I90" s="90">
        <f t="shared" si="21"/>
        <v>-2</v>
      </c>
      <c r="J90" s="90">
        <f t="shared" si="22"/>
        <v>1</v>
      </c>
      <c r="K90" s="242">
        <f t="shared" si="23"/>
        <v>-1</v>
      </c>
      <c r="L90" s="90">
        <f t="shared" si="24"/>
        <v>-2</v>
      </c>
      <c r="M90" s="90">
        <f t="shared" si="25"/>
        <v>-7</v>
      </c>
      <c r="N90" s="90">
        <v>0</v>
      </c>
      <c r="O90" s="90" t="s">
        <v>702</v>
      </c>
      <c r="P90" s="90">
        <f t="shared" si="26"/>
        <v>4</v>
      </c>
      <c r="Q90" s="90">
        <f t="shared" si="27"/>
        <v>4</v>
      </c>
      <c r="R90" s="90">
        <f t="shared" si="28"/>
        <v>4</v>
      </c>
      <c r="S90" s="90">
        <f t="shared" si="29"/>
        <v>4</v>
      </c>
      <c r="T90" s="90">
        <f t="shared" si="30"/>
        <v>4</v>
      </c>
      <c r="U90" s="90">
        <f t="shared" si="31"/>
        <v>4</v>
      </c>
      <c r="V90" s="90"/>
      <c r="W90" s="90" t="s">
        <v>703</v>
      </c>
      <c r="X90" s="90" t="s">
        <v>703</v>
      </c>
      <c r="Y90" s="90" t="s">
        <v>703</v>
      </c>
      <c r="Z90" s="90" t="s">
        <v>703</v>
      </c>
      <c r="AA90" s="90" t="s">
        <v>703</v>
      </c>
      <c r="AB90" s="90" t="s">
        <v>703</v>
      </c>
      <c r="AC90" s="90" t="s">
        <v>703</v>
      </c>
      <c r="AD90" s="90" t="s">
        <v>703</v>
      </c>
      <c r="AE90" s="90" t="s">
        <v>703</v>
      </c>
      <c r="AF90" s="90" t="s">
        <v>703</v>
      </c>
      <c r="AG90" s="90" t="s">
        <v>703</v>
      </c>
      <c r="AH90" s="90" t="s">
        <v>703</v>
      </c>
      <c r="AI90" s="90" t="s">
        <v>703</v>
      </c>
      <c r="AJ90" s="90" t="s">
        <v>703</v>
      </c>
      <c r="AK90" s="90" t="s">
        <v>703</v>
      </c>
      <c r="AL90" s="90" t="s">
        <v>703</v>
      </c>
      <c r="AM90" s="90" t="str">
        <f t="shared" si="32"/>
        <v>Poison</v>
      </c>
      <c r="AN90" s="90" t="s">
        <v>703</v>
      </c>
      <c r="AO90" s="90" t="s">
        <v>703</v>
      </c>
      <c r="AP90" s="90" t="s">
        <v>703</v>
      </c>
      <c r="AQ90" s="90" t="s">
        <v>703</v>
      </c>
      <c r="AR90" s="90" t="s">
        <v>703</v>
      </c>
      <c r="AS90" s="90" t="s">
        <v>703</v>
      </c>
      <c r="AT90" s="90" t="s">
        <v>703</v>
      </c>
      <c r="AU90" s="90" t="s">
        <v>703</v>
      </c>
      <c r="AV90" s="90" t="s">
        <v>703</v>
      </c>
      <c r="AW90" s="90" t="s">
        <v>703</v>
      </c>
      <c r="AX90" s="90" t="s">
        <v>702</v>
      </c>
      <c r="BA90" t="s">
        <v>1661</v>
      </c>
      <c r="BB90">
        <v>5</v>
      </c>
      <c r="BC90">
        <v>5</v>
      </c>
      <c r="BD90">
        <v>6</v>
      </c>
      <c r="BE90">
        <v>4</v>
      </c>
      <c r="BF90">
        <v>5</v>
      </c>
      <c r="BG90">
        <v>4</v>
      </c>
      <c r="BH90">
        <v>35</v>
      </c>
      <c r="BI90">
        <v>4</v>
      </c>
      <c r="BJ90" t="s">
        <v>2368</v>
      </c>
    </row>
    <row r="91" spans="1:62">
      <c r="A91" t="s">
        <v>2064</v>
      </c>
      <c r="E91" s="90">
        <f t="shared" si="17"/>
        <v>1</v>
      </c>
      <c r="F91" s="90">
        <f t="shared" si="18"/>
        <v>7</v>
      </c>
      <c r="G91" s="90">
        <f t="shared" si="19"/>
        <v>7</v>
      </c>
      <c r="H91" s="90">
        <f t="shared" si="20"/>
        <v>1</v>
      </c>
      <c r="I91" s="90">
        <f t="shared" si="21"/>
        <v>-5</v>
      </c>
      <c r="J91" s="90">
        <f t="shared" si="22"/>
        <v>-2</v>
      </c>
      <c r="K91" s="242">
        <f t="shared" si="23"/>
        <v>-4</v>
      </c>
      <c r="L91" s="90">
        <f t="shared" si="24"/>
        <v>-5</v>
      </c>
      <c r="M91" s="90">
        <f t="shared" si="25"/>
        <v>-8</v>
      </c>
      <c r="N91" s="90">
        <v>0</v>
      </c>
      <c r="O91" s="90" t="s">
        <v>702</v>
      </c>
      <c r="P91" s="90">
        <f t="shared" si="26"/>
        <v>1</v>
      </c>
      <c r="Q91" s="90">
        <f t="shared" si="27"/>
        <v>1</v>
      </c>
      <c r="R91" s="90">
        <f t="shared" si="28"/>
        <v>1</v>
      </c>
      <c r="S91" s="90">
        <f t="shared" si="29"/>
        <v>1</v>
      </c>
      <c r="T91" s="90">
        <f t="shared" si="30"/>
        <v>1</v>
      </c>
      <c r="U91" s="90">
        <f t="shared" si="31"/>
        <v>1</v>
      </c>
      <c r="V91" s="90"/>
      <c r="W91" s="90" t="s">
        <v>703</v>
      </c>
      <c r="X91" s="90" t="s">
        <v>703</v>
      </c>
      <c r="Y91" s="90" t="s">
        <v>703</v>
      </c>
      <c r="Z91" s="90" t="s">
        <v>703</v>
      </c>
      <c r="AA91" s="90" t="s">
        <v>703</v>
      </c>
      <c r="AB91" s="90" t="s">
        <v>703</v>
      </c>
      <c r="AC91" s="90" t="s">
        <v>703</v>
      </c>
      <c r="AD91" s="90" t="s">
        <v>703</v>
      </c>
      <c r="AE91" s="90" t="s">
        <v>703</v>
      </c>
      <c r="AF91" s="90" t="s">
        <v>703</v>
      </c>
      <c r="AG91" s="90" t="s">
        <v>703</v>
      </c>
      <c r="AH91" s="90" t="s">
        <v>703</v>
      </c>
      <c r="AI91" s="90" t="s">
        <v>703</v>
      </c>
      <c r="AJ91" s="90" t="s">
        <v>703</v>
      </c>
      <c r="AK91" s="90" t="s">
        <v>703</v>
      </c>
      <c r="AL91" s="90" t="s">
        <v>703</v>
      </c>
      <c r="AM91" s="90" t="str">
        <f t="shared" si="32"/>
        <v>Sonic attack</v>
      </c>
      <c r="AN91" s="90" t="s">
        <v>703</v>
      </c>
      <c r="AO91" s="90" t="s">
        <v>703</v>
      </c>
      <c r="AP91" s="90" t="s">
        <v>703</v>
      </c>
      <c r="AQ91" s="90" t="s">
        <v>703</v>
      </c>
      <c r="AR91" s="90" t="s">
        <v>703</v>
      </c>
      <c r="AS91" s="90" t="s">
        <v>703</v>
      </c>
      <c r="AT91" s="90" t="s">
        <v>703</v>
      </c>
      <c r="AU91" s="90" t="s">
        <v>703</v>
      </c>
      <c r="AV91" s="90" t="s">
        <v>703</v>
      </c>
      <c r="AW91" s="90" t="s">
        <v>703</v>
      </c>
      <c r="AX91" s="90" t="s">
        <v>702</v>
      </c>
      <c r="BA91" t="s">
        <v>2064</v>
      </c>
      <c r="BB91">
        <v>7</v>
      </c>
      <c r="BC91">
        <v>5</v>
      </c>
      <c r="BD91">
        <v>5</v>
      </c>
      <c r="BE91">
        <v>3</v>
      </c>
      <c r="BF91">
        <v>4</v>
      </c>
      <c r="BG91">
        <v>3</v>
      </c>
      <c r="BH91">
        <v>30</v>
      </c>
      <c r="BI91">
        <v>1</v>
      </c>
      <c r="BJ91" t="s">
        <v>1898</v>
      </c>
    </row>
    <row r="92" spans="1:62">
      <c r="A92" t="s">
        <v>1899</v>
      </c>
      <c r="E92" s="90">
        <f t="shared" si="17"/>
        <v>40</v>
      </c>
      <c r="F92" s="90">
        <f t="shared" si="18"/>
        <v>28</v>
      </c>
      <c r="G92" s="90">
        <f t="shared" si="19"/>
        <v>28</v>
      </c>
      <c r="H92" s="90">
        <f t="shared" si="20"/>
        <v>16</v>
      </c>
      <c r="I92" s="90">
        <f t="shared" si="21"/>
        <v>1</v>
      </c>
      <c r="J92" s="90">
        <f t="shared" si="22"/>
        <v>10</v>
      </c>
      <c r="K92" s="242">
        <f t="shared" si="23"/>
        <v>4</v>
      </c>
      <c r="L92" s="90">
        <f t="shared" si="24"/>
        <v>1</v>
      </c>
      <c r="M92" s="90">
        <f t="shared" si="25"/>
        <v>-6</v>
      </c>
      <c r="N92" s="90">
        <v>0</v>
      </c>
      <c r="O92" s="90" t="s">
        <v>702</v>
      </c>
      <c r="P92" s="90">
        <f t="shared" si="26"/>
        <v>10</v>
      </c>
      <c r="Q92" s="90">
        <f t="shared" si="27"/>
        <v>10</v>
      </c>
      <c r="R92" s="90">
        <f t="shared" si="28"/>
        <v>10</v>
      </c>
      <c r="S92" s="90">
        <f t="shared" si="29"/>
        <v>10</v>
      </c>
      <c r="T92" s="90">
        <f t="shared" si="30"/>
        <v>10</v>
      </c>
      <c r="U92" s="90">
        <f t="shared" si="31"/>
        <v>10</v>
      </c>
      <c r="V92" s="90"/>
      <c r="W92" s="90" t="s">
        <v>703</v>
      </c>
      <c r="X92" s="90" t="s">
        <v>703</v>
      </c>
      <c r="Y92" s="90" t="s">
        <v>703</v>
      </c>
      <c r="Z92" s="90" t="s">
        <v>703</v>
      </c>
      <c r="AA92" s="90" t="s">
        <v>703</v>
      </c>
      <c r="AB92" s="90" t="s">
        <v>703</v>
      </c>
      <c r="AC92" s="90" t="s">
        <v>703</v>
      </c>
      <c r="AD92" s="90" t="s">
        <v>703</v>
      </c>
      <c r="AE92" s="90" t="s">
        <v>703</v>
      </c>
      <c r="AF92" s="90" t="s">
        <v>703</v>
      </c>
      <c r="AG92" s="90" t="s">
        <v>703</v>
      </c>
      <c r="AH92" s="90" t="s">
        <v>703</v>
      </c>
      <c r="AI92" s="90" t="s">
        <v>703</v>
      </c>
      <c r="AJ92" s="90" t="s">
        <v>703</v>
      </c>
      <c r="AK92" s="90" t="s">
        <v>703</v>
      </c>
      <c r="AL92" s="90" t="s">
        <v>703</v>
      </c>
      <c r="AM92" s="90">
        <f t="shared" si="32"/>
        <v>0</v>
      </c>
      <c r="AN92" s="90" t="s">
        <v>703</v>
      </c>
      <c r="AO92" s="90" t="s">
        <v>703</v>
      </c>
      <c r="AP92" s="90" t="s">
        <v>703</v>
      </c>
      <c r="AQ92" s="90" t="s">
        <v>703</v>
      </c>
      <c r="AR92" s="90" t="s">
        <v>703</v>
      </c>
      <c r="AS92" s="90" t="s">
        <v>703</v>
      </c>
      <c r="AT92" s="90" t="s">
        <v>703</v>
      </c>
      <c r="AU92" s="90" t="s">
        <v>703</v>
      </c>
      <c r="AV92" s="90" t="s">
        <v>703</v>
      </c>
      <c r="AW92" s="90" t="s">
        <v>703</v>
      </c>
      <c r="AX92" s="90" t="s">
        <v>702</v>
      </c>
      <c r="BA92" t="s">
        <v>1899</v>
      </c>
      <c r="BB92">
        <v>14</v>
      </c>
      <c r="BC92">
        <v>18</v>
      </c>
      <c r="BD92">
        <v>10</v>
      </c>
      <c r="BE92">
        <v>5</v>
      </c>
      <c r="BF92">
        <v>8</v>
      </c>
      <c r="BG92">
        <v>5</v>
      </c>
      <c r="BH92">
        <v>90</v>
      </c>
      <c r="BI92">
        <v>10</v>
      </c>
    </row>
    <row r="93" spans="1:62">
      <c r="A93" t="s">
        <v>1495</v>
      </c>
      <c r="E93" s="90">
        <f t="shared" si="17"/>
        <v>-5</v>
      </c>
      <c r="F93" s="90">
        <f t="shared" si="18"/>
        <v>4</v>
      </c>
      <c r="G93" s="90">
        <f t="shared" si="19"/>
        <v>4</v>
      </c>
      <c r="H93" s="90">
        <f t="shared" si="20"/>
        <v>-2</v>
      </c>
      <c r="I93" s="90">
        <f t="shared" si="21"/>
        <v>-5</v>
      </c>
      <c r="J93" s="90">
        <f t="shared" si="22"/>
        <v>-2</v>
      </c>
      <c r="K93" s="242">
        <f t="shared" si="23"/>
        <v>-3</v>
      </c>
      <c r="L93" s="90">
        <f t="shared" si="24"/>
        <v>-2</v>
      </c>
      <c r="M93" s="90">
        <f t="shared" si="25"/>
        <v>-8</v>
      </c>
      <c r="N93" s="90">
        <v>0</v>
      </c>
      <c r="O93" s="90" t="s">
        <v>702</v>
      </c>
      <c r="P93" s="90">
        <f t="shared" si="26"/>
        <v>0</v>
      </c>
      <c r="Q93" s="90">
        <f t="shared" si="27"/>
        <v>0</v>
      </c>
      <c r="R93" s="90">
        <f t="shared" si="28"/>
        <v>0</v>
      </c>
      <c r="S93" s="90">
        <f t="shared" si="29"/>
        <v>0</v>
      </c>
      <c r="T93" s="90">
        <f t="shared" si="30"/>
        <v>0</v>
      </c>
      <c r="U93" s="90">
        <f t="shared" si="31"/>
        <v>0</v>
      </c>
      <c r="V93" s="90"/>
      <c r="W93" s="90" t="s">
        <v>703</v>
      </c>
      <c r="X93" s="90" t="s">
        <v>703</v>
      </c>
      <c r="Y93" s="90" t="s">
        <v>703</v>
      </c>
      <c r="Z93" s="90" t="s">
        <v>703</v>
      </c>
      <c r="AA93" s="90" t="s">
        <v>703</v>
      </c>
      <c r="AB93" s="90" t="s">
        <v>703</v>
      </c>
      <c r="AC93" s="90" t="s">
        <v>703</v>
      </c>
      <c r="AD93" s="90" t="s">
        <v>703</v>
      </c>
      <c r="AE93" s="90" t="s">
        <v>703</v>
      </c>
      <c r="AF93" s="90" t="s">
        <v>703</v>
      </c>
      <c r="AG93" s="90" t="s">
        <v>703</v>
      </c>
      <c r="AH93" s="90" t="s">
        <v>703</v>
      </c>
      <c r="AI93" s="90" t="s">
        <v>703</v>
      </c>
      <c r="AJ93" s="90" t="s">
        <v>703</v>
      </c>
      <c r="AK93" s="90" t="s">
        <v>703</v>
      </c>
      <c r="AL93" s="90" t="s">
        <v>703</v>
      </c>
      <c r="AM93" s="90" t="str">
        <f t="shared" si="32"/>
        <v>Poison</v>
      </c>
      <c r="AN93" s="90" t="s">
        <v>703</v>
      </c>
      <c r="AO93" s="90" t="s">
        <v>703</v>
      </c>
      <c r="AP93" s="90" t="s">
        <v>703</v>
      </c>
      <c r="AQ93" s="90" t="s">
        <v>703</v>
      </c>
      <c r="AR93" s="90" t="s">
        <v>703</v>
      </c>
      <c r="AS93" s="90" t="s">
        <v>703</v>
      </c>
      <c r="AT93" s="90" t="s">
        <v>703</v>
      </c>
      <c r="AU93" s="90" t="s">
        <v>703</v>
      </c>
      <c r="AV93" s="90" t="s">
        <v>703</v>
      </c>
      <c r="AW93" s="90" t="s">
        <v>703</v>
      </c>
      <c r="AX93" s="90" t="s">
        <v>702</v>
      </c>
      <c r="BA93" t="s">
        <v>1495</v>
      </c>
      <c r="BB93">
        <v>6</v>
      </c>
      <c r="BC93">
        <v>3</v>
      </c>
      <c r="BD93">
        <v>4</v>
      </c>
      <c r="BE93">
        <v>3</v>
      </c>
      <c r="BF93">
        <v>4</v>
      </c>
      <c r="BG93">
        <v>4</v>
      </c>
      <c r="BJ93" t="s">
        <v>2368</v>
      </c>
    </row>
    <row r="94" spans="1:62">
      <c r="A94" t="s">
        <v>1732</v>
      </c>
      <c r="E94" s="90">
        <f t="shared" si="17"/>
        <v>1</v>
      </c>
      <c r="F94" s="90">
        <f t="shared" si="18"/>
        <v>4</v>
      </c>
      <c r="G94" s="90">
        <f t="shared" si="19"/>
        <v>4</v>
      </c>
      <c r="H94" s="90">
        <f t="shared" si="20"/>
        <v>4</v>
      </c>
      <c r="I94" s="90">
        <f t="shared" si="21"/>
        <v>-5</v>
      </c>
      <c r="J94" s="90">
        <f t="shared" si="22"/>
        <v>-2</v>
      </c>
      <c r="K94" s="242">
        <f t="shared" si="23"/>
        <v>-3</v>
      </c>
      <c r="L94" s="90">
        <f t="shared" si="24"/>
        <v>-2</v>
      </c>
      <c r="M94" s="90">
        <f t="shared" si="25"/>
        <v>-8</v>
      </c>
      <c r="N94" s="90">
        <v>0</v>
      </c>
      <c r="O94" s="90" t="s">
        <v>702</v>
      </c>
      <c r="P94" s="90">
        <f t="shared" si="26"/>
        <v>3</v>
      </c>
      <c r="Q94" s="90">
        <f t="shared" si="27"/>
        <v>3</v>
      </c>
      <c r="R94" s="90">
        <f t="shared" si="28"/>
        <v>3</v>
      </c>
      <c r="S94" s="90">
        <f t="shared" si="29"/>
        <v>3</v>
      </c>
      <c r="T94" s="90">
        <f t="shared" si="30"/>
        <v>3</v>
      </c>
      <c r="U94" s="90">
        <f t="shared" si="31"/>
        <v>3</v>
      </c>
      <c r="V94" s="90"/>
      <c r="W94" s="90" t="s">
        <v>703</v>
      </c>
      <c r="X94" s="90" t="s">
        <v>703</v>
      </c>
      <c r="Y94" s="90" t="s">
        <v>703</v>
      </c>
      <c r="Z94" s="90" t="s">
        <v>703</v>
      </c>
      <c r="AA94" s="90" t="s">
        <v>703</v>
      </c>
      <c r="AB94" s="90" t="s">
        <v>703</v>
      </c>
      <c r="AC94" s="90" t="s">
        <v>703</v>
      </c>
      <c r="AD94" s="90" t="s">
        <v>703</v>
      </c>
      <c r="AE94" s="90" t="s">
        <v>703</v>
      </c>
      <c r="AF94" s="90" t="s">
        <v>703</v>
      </c>
      <c r="AG94" s="90" t="s">
        <v>703</v>
      </c>
      <c r="AH94" s="90" t="s">
        <v>703</v>
      </c>
      <c r="AI94" s="90" t="s">
        <v>703</v>
      </c>
      <c r="AJ94" s="90" t="s">
        <v>703</v>
      </c>
      <c r="AK94" s="90" t="s">
        <v>703</v>
      </c>
      <c r="AL94" s="90" t="s">
        <v>703</v>
      </c>
      <c r="AM94" s="90" t="str">
        <f t="shared" si="32"/>
        <v>Cold</v>
      </c>
      <c r="AN94" s="90" t="s">
        <v>703</v>
      </c>
      <c r="AO94" s="90" t="s">
        <v>703</v>
      </c>
      <c r="AP94" s="90" t="s">
        <v>703</v>
      </c>
      <c r="AQ94" s="90" t="s">
        <v>703</v>
      </c>
      <c r="AR94" s="90" t="s">
        <v>703</v>
      </c>
      <c r="AS94" s="90" t="s">
        <v>703</v>
      </c>
      <c r="AT94" s="90" t="s">
        <v>703</v>
      </c>
      <c r="AU94" s="90" t="s">
        <v>703</v>
      </c>
      <c r="AV94" s="90" t="s">
        <v>703</v>
      </c>
      <c r="AW94" s="90" t="s">
        <v>703</v>
      </c>
      <c r="AX94" s="90" t="s">
        <v>702</v>
      </c>
      <c r="BA94" t="s">
        <v>1732</v>
      </c>
      <c r="BB94">
        <v>6</v>
      </c>
      <c r="BC94">
        <v>5</v>
      </c>
      <c r="BD94">
        <v>6</v>
      </c>
      <c r="BE94">
        <v>3</v>
      </c>
      <c r="BF94">
        <v>4</v>
      </c>
      <c r="BG94">
        <v>4</v>
      </c>
      <c r="BH94">
        <v>50</v>
      </c>
      <c r="BI94">
        <v>3</v>
      </c>
      <c r="BJ94" t="s">
        <v>1733</v>
      </c>
    </row>
    <row r="95" spans="1:62">
      <c r="A95" t="s">
        <v>2369</v>
      </c>
      <c r="E95" s="90">
        <f t="shared" si="17"/>
        <v>7</v>
      </c>
      <c r="F95" s="90">
        <f t="shared" si="18"/>
        <v>25</v>
      </c>
      <c r="G95" s="90">
        <f t="shared" si="19"/>
        <v>25</v>
      </c>
      <c r="H95" s="90">
        <f t="shared" si="20"/>
        <v>28</v>
      </c>
      <c r="I95" s="90">
        <f t="shared" si="21"/>
        <v>34</v>
      </c>
      <c r="J95" s="90">
        <f t="shared" si="22"/>
        <v>46</v>
      </c>
      <c r="K95" s="242">
        <f t="shared" si="23"/>
        <v>34</v>
      </c>
      <c r="L95" s="90">
        <f t="shared" si="24"/>
        <v>22</v>
      </c>
      <c r="M95" s="90">
        <f t="shared" si="25"/>
        <v>5</v>
      </c>
      <c r="N95" s="90">
        <v>0</v>
      </c>
      <c r="O95" s="90" t="s">
        <v>702</v>
      </c>
      <c r="P95" s="90">
        <f t="shared" si="26"/>
        <v>0</v>
      </c>
      <c r="Q95" s="90">
        <f t="shared" si="27"/>
        <v>0</v>
      </c>
      <c r="R95" s="90">
        <f t="shared" si="28"/>
        <v>0</v>
      </c>
      <c r="S95" s="90">
        <f t="shared" si="29"/>
        <v>0</v>
      </c>
      <c r="T95" s="90">
        <f t="shared" si="30"/>
        <v>0</v>
      </c>
      <c r="U95" s="90">
        <f t="shared" si="31"/>
        <v>0</v>
      </c>
      <c r="V95" s="90"/>
      <c r="W95" s="90" t="s">
        <v>703</v>
      </c>
      <c r="X95" s="90" t="s">
        <v>703</v>
      </c>
      <c r="Y95" s="90" t="s">
        <v>703</v>
      </c>
      <c r="Z95" s="90" t="s">
        <v>703</v>
      </c>
      <c r="AA95" s="90" t="s">
        <v>703</v>
      </c>
      <c r="AB95" s="90" t="s">
        <v>703</v>
      </c>
      <c r="AC95" s="90" t="s">
        <v>703</v>
      </c>
      <c r="AD95" s="90" t="s">
        <v>703</v>
      </c>
      <c r="AE95" s="90" t="s">
        <v>703</v>
      </c>
      <c r="AF95" s="90" t="s">
        <v>703</v>
      </c>
      <c r="AG95" s="90" t="s">
        <v>703</v>
      </c>
      <c r="AH95" s="90" t="s">
        <v>703</v>
      </c>
      <c r="AI95" s="90" t="s">
        <v>703</v>
      </c>
      <c r="AJ95" s="90" t="s">
        <v>703</v>
      </c>
      <c r="AK95" s="90" t="s">
        <v>703</v>
      </c>
      <c r="AL95" s="90" t="s">
        <v>703</v>
      </c>
      <c r="AM95" s="90">
        <f t="shared" si="32"/>
        <v>0</v>
      </c>
      <c r="AN95" s="90" t="s">
        <v>703</v>
      </c>
      <c r="AO95" s="90" t="s">
        <v>703</v>
      </c>
      <c r="AP95" s="90" t="s">
        <v>703</v>
      </c>
      <c r="AQ95" s="90" t="s">
        <v>703</v>
      </c>
      <c r="AR95" s="90" t="s">
        <v>703</v>
      </c>
      <c r="AS95" s="90" t="s">
        <v>703</v>
      </c>
      <c r="AT95" s="90" t="s">
        <v>703</v>
      </c>
      <c r="AU95" s="90" t="s">
        <v>703</v>
      </c>
      <c r="AV95" s="90" t="s">
        <v>703</v>
      </c>
      <c r="AW95" s="90" t="s">
        <v>703</v>
      </c>
      <c r="AX95" s="90" t="s">
        <v>702</v>
      </c>
      <c r="BA95" t="s">
        <v>2369</v>
      </c>
      <c r="BB95">
        <v>13</v>
      </c>
      <c r="BC95">
        <v>7</v>
      </c>
      <c r="BD95">
        <v>14</v>
      </c>
      <c r="BE95">
        <v>16</v>
      </c>
      <c r="BF95">
        <v>20</v>
      </c>
      <c r="BG95">
        <v>12</v>
      </c>
      <c r="BH95">
        <v>90</v>
      </c>
      <c r="BI95">
        <v>0</v>
      </c>
    </row>
    <row r="96" spans="1:62">
      <c r="A96" t="s">
        <v>2138</v>
      </c>
      <c r="E96" s="90">
        <f t="shared" si="17"/>
        <v>7</v>
      </c>
      <c r="F96" s="90">
        <f t="shared" si="18"/>
        <v>13</v>
      </c>
      <c r="G96" s="90">
        <f t="shared" si="19"/>
        <v>13</v>
      </c>
      <c r="H96" s="90">
        <f t="shared" si="20"/>
        <v>-2</v>
      </c>
      <c r="I96" s="90">
        <f t="shared" si="21"/>
        <v>4</v>
      </c>
      <c r="J96" s="90">
        <f t="shared" si="22"/>
        <v>-2</v>
      </c>
      <c r="K96" s="242">
        <f t="shared" si="23"/>
        <v>1</v>
      </c>
      <c r="L96" s="90">
        <f t="shared" si="24"/>
        <v>1</v>
      </c>
      <c r="M96" s="90">
        <f t="shared" si="25"/>
        <v>-5</v>
      </c>
      <c r="N96" s="90">
        <v>0</v>
      </c>
      <c r="O96" s="90" t="s">
        <v>702</v>
      </c>
      <c r="P96" s="90">
        <f t="shared" si="26"/>
        <v>2</v>
      </c>
      <c r="Q96" s="90">
        <f t="shared" si="27"/>
        <v>2</v>
      </c>
      <c r="R96" s="90">
        <f t="shared" si="28"/>
        <v>2</v>
      </c>
      <c r="S96" s="90">
        <f t="shared" si="29"/>
        <v>2</v>
      </c>
      <c r="T96" s="90">
        <f t="shared" si="30"/>
        <v>2</v>
      </c>
      <c r="U96" s="90">
        <f t="shared" si="31"/>
        <v>2</v>
      </c>
      <c r="V96" s="90"/>
      <c r="W96" s="90" t="s">
        <v>703</v>
      </c>
      <c r="X96" s="90" t="s">
        <v>703</v>
      </c>
      <c r="Y96" s="90" t="s">
        <v>703</v>
      </c>
      <c r="Z96" s="90" t="s">
        <v>703</v>
      </c>
      <c r="AA96" s="90" t="s">
        <v>703</v>
      </c>
      <c r="AB96" s="90" t="s">
        <v>703</v>
      </c>
      <c r="AC96" s="90" t="s">
        <v>703</v>
      </c>
      <c r="AD96" s="90" t="s">
        <v>703</v>
      </c>
      <c r="AE96" s="90" t="s">
        <v>703</v>
      </c>
      <c r="AF96" s="90" t="s">
        <v>703</v>
      </c>
      <c r="AG96" s="90" t="s">
        <v>703</v>
      </c>
      <c r="AH96" s="90" t="s">
        <v>703</v>
      </c>
      <c r="AI96" s="90" t="s">
        <v>703</v>
      </c>
      <c r="AJ96" s="90" t="s">
        <v>703</v>
      </c>
      <c r="AK96" s="90" t="s">
        <v>703</v>
      </c>
      <c r="AL96" s="90" t="s">
        <v>703</v>
      </c>
      <c r="AM96" s="90" t="str">
        <f t="shared" si="32"/>
        <v>Poison</v>
      </c>
      <c r="AN96" s="90" t="s">
        <v>703</v>
      </c>
      <c r="AO96" s="90" t="s">
        <v>703</v>
      </c>
      <c r="AP96" s="90" t="s">
        <v>703</v>
      </c>
      <c r="AQ96" s="90" t="s">
        <v>703</v>
      </c>
      <c r="AR96" s="90" t="s">
        <v>703</v>
      </c>
      <c r="AS96" s="90" t="s">
        <v>703</v>
      </c>
      <c r="AT96" s="90" t="s">
        <v>703</v>
      </c>
      <c r="AU96" s="90" t="s">
        <v>703</v>
      </c>
      <c r="AV96" s="90" t="s">
        <v>703</v>
      </c>
      <c r="AW96" s="90" t="s">
        <v>703</v>
      </c>
      <c r="AX96" s="90" t="s">
        <v>702</v>
      </c>
      <c r="BA96" t="s">
        <v>2138</v>
      </c>
      <c r="BB96">
        <v>9</v>
      </c>
      <c r="BC96">
        <v>7</v>
      </c>
      <c r="BD96">
        <v>4</v>
      </c>
      <c r="BE96">
        <v>6</v>
      </c>
      <c r="BF96">
        <v>4</v>
      </c>
      <c r="BG96">
        <v>5</v>
      </c>
      <c r="BH96">
        <v>30</v>
      </c>
      <c r="BI96">
        <v>2</v>
      </c>
      <c r="BJ96" t="s">
        <v>2368</v>
      </c>
    </row>
    <row r="97" spans="1:62">
      <c r="A97" t="s">
        <v>1686</v>
      </c>
      <c r="E97" s="90">
        <f t="shared" si="17"/>
        <v>4</v>
      </c>
      <c r="F97" s="90">
        <f t="shared" si="18"/>
        <v>7</v>
      </c>
      <c r="G97" s="90">
        <f t="shared" si="19"/>
        <v>7</v>
      </c>
      <c r="H97" s="90">
        <f t="shared" si="20"/>
        <v>1</v>
      </c>
      <c r="I97" s="90">
        <f t="shared" si="21"/>
        <v>1</v>
      </c>
      <c r="J97" s="90">
        <f t="shared" si="22"/>
        <v>4</v>
      </c>
      <c r="K97" s="242">
        <f t="shared" si="23"/>
        <v>2</v>
      </c>
      <c r="L97" s="90">
        <f t="shared" si="24"/>
        <v>1</v>
      </c>
      <c r="M97" s="90">
        <f t="shared" si="25"/>
        <v>-6</v>
      </c>
      <c r="N97" s="90">
        <v>0</v>
      </c>
      <c r="O97" s="90" t="s">
        <v>702</v>
      </c>
      <c r="P97" s="90">
        <f t="shared" si="26"/>
        <v>2</v>
      </c>
      <c r="Q97" s="90">
        <f t="shared" si="27"/>
        <v>2</v>
      </c>
      <c r="R97" s="90">
        <f t="shared" si="28"/>
        <v>2</v>
      </c>
      <c r="S97" s="90">
        <f t="shared" si="29"/>
        <v>2</v>
      </c>
      <c r="T97" s="90">
        <f t="shared" si="30"/>
        <v>2</v>
      </c>
      <c r="U97" s="90">
        <f t="shared" si="31"/>
        <v>2</v>
      </c>
      <c r="V97" s="90"/>
      <c r="W97" s="90" t="s">
        <v>703</v>
      </c>
      <c r="X97" s="90" t="s">
        <v>703</v>
      </c>
      <c r="Y97" s="90" t="s">
        <v>703</v>
      </c>
      <c r="Z97" s="90" t="s">
        <v>703</v>
      </c>
      <c r="AA97" s="90" t="s">
        <v>703</v>
      </c>
      <c r="AB97" s="90" t="s">
        <v>703</v>
      </c>
      <c r="AC97" s="90" t="s">
        <v>703</v>
      </c>
      <c r="AD97" s="90" t="s">
        <v>703</v>
      </c>
      <c r="AE97" s="90" t="s">
        <v>703</v>
      </c>
      <c r="AF97" s="90" t="s">
        <v>703</v>
      </c>
      <c r="AG97" s="90" t="s">
        <v>703</v>
      </c>
      <c r="AH97" s="90" t="s">
        <v>703</v>
      </c>
      <c r="AI97" s="90" t="s">
        <v>703</v>
      </c>
      <c r="AJ97" s="90" t="s">
        <v>703</v>
      </c>
      <c r="AK97" s="90" t="s">
        <v>703</v>
      </c>
      <c r="AL97" s="90" t="s">
        <v>703</v>
      </c>
      <c r="AM97" s="90" t="str">
        <f t="shared" si="32"/>
        <v>Storm Call</v>
      </c>
      <c r="AN97" s="90" t="s">
        <v>703</v>
      </c>
      <c r="AO97" s="90" t="s">
        <v>703</v>
      </c>
      <c r="AP97" s="90" t="s">
        <v>703</v>
      </c>
      <c r="AQ97" s="90" t="s">
        <v>703</v>
      </c>
      <c r="AR97" s="90" t="s">
        <v>703</v>
      </c>
      <c r="AS97" s="90" t="s">
        <v>703</v>
      </c>
      <c r="AT97" s="90" t="s">
        <v>703</v>
      </c>
      <c r="AU97" s="90" t="s">
        <v>703</v>
      </c>
      <c r="AV97" s="90" t="s">
        <v>703</v>
      </c>
      <c r="AW97" s="90" t="s">
        <v>703</v>
      </c>
      <c r="AX97" s="90" t="s">
        <v>702</v>
      </c>
      <c r="BA97" t="s">
        <v>1686</v>
      </c>
      <c r="BB97">
        <v>7</v>
      </c>
      <c r="BC97">
        <v>6</v>
      </c>
      <c r="BD97">
        <v>5</v>
      </c>
      <c r="BE97">
        <v>5</v>
      </c>
      <c r="BF97">
        <v>6</v>
      </c>
      <c r="BG97">
        <v>5</v>
      </c>
      <c r="BH97">
        <v>32</v>
      </c>
      <c r="BI97">
        <v>2</v>
      </c>
      <c r="BJ97" t="s">
        <v>1687</v>
      </c>
    </row>
    <row r="98" spans="1:62">
      <c r="A98" t="s">
        <v>1910</v>
      </c>
      <c r="E98" s="90">
        <f t="shared" si="17"/>
        <v>-2</v>
      </c>
      <c r="F98" s="90">
        <f t="shared" si="18"/>
        <v>1</v>
      </c>
      <c r="G98" s="90">
        <f t="shared" si="19"/>
        <v>1</v>
      </c>
      <c r="H98" s="90">
        <f t="shared" si="20"/>
        <v>1</v>
      </c>
      <c r="I98" s="90">
        <f t="shared" si="21"/>
        <v>-8</v>
      </c>
      <c r="J98" s="90">
        <f t="shared" si="22"/>
        <v>-5</v>
      </c>
      <c r="K98" s="242">
        <f t="shared" si="23"/>
        <v>-6</v>
      </c>
      <c r="L98" s="90">
        <f t="shared" si="24"/>
        <v>-5</v>
      </c>
      <c r="M98" s="90">
        <f t="shared" si="25"/>
        <v>-9</v>
      </c>
      <c r="N98" s="90">
        <v>0</v>
      </c>
      <c r="O98" s="90" t="s">
        <v>702</v>
      </c>
      <c r="P98" s="90">
        <f t="shared" si="26"/>
        <v>2</v>
      </c>
      <c r="Q98" s="90">
        <f t="shared" si="27"/>
        <v>2</v>
      </c>
      <c r="R98" s="90">
        <f t="shared" si="28"/>
        <v>2</v>
      </c>
      <c r="S98" s="90">
        <f t="shared" si="29"/>
        <v>2</v>
      </c>
      <c r="T98" s="90">
        <f t="shared" si="30"/>
        <v>2</v>
      </c>
      <c r="U98" s="90">
        <f t="shared" si="31"/>
        <v>2</v>
      </c>
      <c r="V98" s="90"/>
      <c r="W98" s="90" t="s">
        <v>703</v>
      </c>
      <c r="X98" s="90" t="s">
        <v>703</v>
      </c>
      <c r="Y98" s="90" t="s">
        <v>703</v>
      </c>
      <c r="Z98" s="90" t="s">
        <v>703</v>
      </c>
      <c r="AA98" s="90" t="s">
        <v>703</v>
      </c>
      <c r="AB98" s="90" t="s">
        <v>703</v>
      </c>
      <c r="AC98" s="90" t="s">
        <v>703</v>
      </c>
      <c r="AD98" s="90" t="s">
        <v>703</v>
      </c>
      <c r="AE98" s="90" t="s">
        <v>703</v>
      </c>
      <c r="AF98" s="90" t="s">
        <v>703</v>
      </c>
      <c r="AG98" s="90" t="s">
        <v>703</v>
      </c>
      <c r="AH98" s="90" t="s">
        <v>703</v>
      </c>
      <c r="AI98" s="90" t="s">
        <v>703</v>
      </c>
      <c r="AJ98" s="90" t="s">
        <v>703</v>
      </c>
      <c r="AK98" s="90" t="s">
        <v>703</v>
      </c>
      <c r="AL98" s="90" t="s">
        <v>703</v>
      </c>
      <c r="AM98" s="90" t="str">
        <f t="shared" si="32"/>
        <v>Acid</v>
      </c>
      <c r="AN98" s="90" t="s">
        <v>703</v>
      </c>
      <c r="AO98" s="90" t="s">
        <v>703</v>
      </c>
      <c r="AP98" s="90" t="s">
        <v>703</v>
      </c>
      <c r="AQ98" s="90" t="s">
        <v>703</v>
      </c>
      <c r="AR98" s="90" t="s">
        <v>703</v>
      </c>
      <c r="AS98" s="90" t="s">
        <v>703</v>
      </c>
      <c r="AT98" s="90" t="s">
        <v>703</v>
      </c>
      <c r="AU98" s="90" t="s">
        <v>703</v>
      </c>
      <c r="AV98" s="90" t="s">
        <v>703</v>
      </c>
      <c r="AW98" s="90" t="s">
        <v>703</v>
      </c>
      <c r="AX98" s="90" t="s">
        <v>702</v>
      </c>
      <c r="BA98" t="s">
        <v>1910</v>
      </c>
      <c r="BB98">
        <v>5</v>
      </c>
      <c r="BC98">
        <v>4</v>
      </c>
      <c r="BD98">
        <v>5</v>
      </c>
      <c r="BE98">
        <v>2</v>
      </c>
      <c r="BF98">
        <v>3</v>
      </c>
      <c r="BG98">
        <v>3</v>
      </c>
      <c r="BH98">
        <v>30</v>
      </c>
      <c r="BI98">
        <v>2</v>
      </c>
      <c r="BJ98" t="s">
        <v>1736</v>
      </c>
    </row>
    <row r="99" spans="1:62">
      <c r="A99" t="s">
        <v>1553</v>
      </c>
      <c r="E99" s="90">
        <f t="shared" si="17"/>
        <v>1</v>
      </c>
      <c r="F99" s="90">
        <f t="shared" si="18"/>
        <v>4</v>
      </c>
      <c r="G99" s="90">
        <f t="shared" si="19"/>
        <v>4</v>
      </c>
      <c r="H99" s="90">
        <f t="shared" si="20"/>
        <v>4</v>
      </c>
      <c r="I99" s="90">
        <f t="shared" si="21"/>
        <v>1</v>
      </c>
      <c r="J99" s="90">
        <f t="shared" si="22"/>
        <v>4</v>
      </c>
      <c r="K99" s="242">
        <f t="shared" si="23"/>
        <v>1</v>
      </c>
      <c r="L99" s="90">
        <f t="shared" si="24"/>
        <v>-2</v>
      </c>
      <c r="M99" s="90">
        <f t="shared" si="25"/>
        <v>-6</v>
      </c>
      <c r="N99" s="90">
        <v>0</v>
      </c>
      <c r="O99" s="90" t="s">
        <v>702</v>
      </c>
      <c r="P99" s="90">
        <f t="shared" si="26"/>
        <v>4</v>
      </c>
      <c r="Q99" s="90">
        <f t="shared" si="27"/>
        <v>4</v>
      </c>
      <c r="R99" s="90">
        <f t="shared" si="28"/>
        <v>4</v>
      </c>
      <c r="S99" s="90">
        <f t="shared" si="29"/>
        <v>4</v>
      </c>
      <c r="T99" s="90">
        <f t="shared" si="30"/>
        <v>4</v>
      </c>
      <c r="U99" s="90">
        <f t="shared" si="31"/>
        <v>4</v>
      </c>
      <c r="V99" s="90"/>
      <c r="W99" s="90" t="s">
        <v>703</v>
      </c>
      <c r="X99" s="90" t="s">
        <v>703</v>
      </c>
      <c r="Y99" s="90" t="s">
        <v>703</v>
      </c>
      <c r="Z99" s="90" t="s">
        <v>703</v>
      </c>
      <c r="AA99" s="90" t="s">
        <v>703</v>
      </c>
      <c r="AB99" s="90" t="s">
        <v>703</v>
      </c>
      <c r="AC99" s="90" t="s">
        <v>703</v>
      </c>
      <c r="AD99" s="90" t="s">
        <v>703</v>
      </c>
      <c r="AE99" s="90" t="s">
        <v>703</v>
      </c>
      <c r="AF99" s="90" t="s">
        <v>703</v>
      </c>
      <c r="AG99" s="90" t="s">
        <v>703</v>
      </c>
      <c r="AH99" s="90" t="s">
        <v>703</v>
      </c>
      <c r="AI99" s="90" t="s">
        <v>703</v>
      </c>
      <c r="AJ99" s="90" t="s">
        <v>703</v>
      </c>
      <c r="AK99" s="90" t="s">
        <v>703</v>
      </c>
      <c r="AL99" s="90" t="s">
        <v>703</v>
      </c>
      <c r="AM99" s="90">
        <f t="shared" si="32"/>
        <v>0</v>
      </c>
      <c r="AN99" s="90" t="s">
        <v>703</v>
      </c>
      <c r="AO99" s="90" t="s">
        <v>703</v>
      </c>
      <c r="AP99" s="90" t="s">
        <v>703</v>
      </c>
      <c r="AQ99" s="90" t="s">
        <v>703</v>
      </c>
      <c r="AR99" s="90" t="s">
        <v>703</v>
      </c>
      <c r="AS99" s="90" t="s">
        <v>703</v>
      </c>
      <c r="AT99" s="90" t="s">
        <v>703</v>
      </c>
      <c r="AU99" s="90" t="s">
        <v>703</v>
      </c>
      <c r="AV99" s="90" t="s">
        <v>703</v>
      </c>
      <c r="AW99" s="90" t="s">
        <v>703</v>
      </c>
      <c r="AX99" s="90" t="s">
        <v>702</v>
      </c>
      <c r="BA99" t="s">
        <v>1553</v>
      </c>
      <c r="BB99">
        <v>6</v>
      </c>
      <c r="BC99">
        <v>5</v>
      </c>
      <c r="BD99">
        <v>6</v>
      </c>
      <c r="BE99">
        <v>5</v>
      </c>
      <c r="BF99">
        <v>6</v>
      </c>
      <c r="BG99">
        <v>4</v>
      </c>
      <c r="BH99">
        <v>40</v>
      </c>
      <c r="BI99">
        <v>4</v>
      </c>
    </row>
    <row r="100" spans="1:62">
      <c r="A100" t="s">
        <v>1813</v>
      </c>
      <c r="E100" s="90">
        <f t="shared" si="17"/>
        <v>19</v>
      </c>
      <c r="F100" s="90">
        <f t="shared" si="18"/>
        <v>4</v>
      </c>
      <c r="G100" s="90">
        <f t="shared" si="19"/>
        <v>4</v>
      </c>
      <c r="H100" s="90">
        <f t="shared" si="20"/>
        <v>22</v>
      </c>
      <c r="I100" s="90">
        <f t="shared" si="21"/>
        <v>1</v>
      </c>
      <c r="J100" s="90">
        <f t="shared" si="22"/>
        <v>7</v>
      </c>
      <c r="K100" s="242">
        <f t="shared" si="23"/>
        <v>2</v>
      </c>
      <c r="L100" s="90">
        <f t="shared" si="24"/>
        <v>-2</v>
      </c>
      <c r="M100" s="90">
        <f t="shared" si="25"/>
        <v>-6</v>
      </c>
      <c r="N100" s="90">
        <v>0</v>
      </c>
      <c r="O100" s="90" t="s">
        <v>702</v>
      </c>
      <c r="P100" s="90">
        <f t="shared" si="26"/>
        <v>8</v>
      </c>
      <c r="Q100" s="90">
        <f t="shared" si="27"/>
        <v>8</v>
      </c>
      <c r="R100" s="90">
        <f t="shared" si="28"/>
        <v>8</v>
      </c>
      <c r="S100" s="90">
        <f t="shared" si="29"/>
        <v>8</v>
      </c>
      <c r="T100" s="90">
        <f t="shared" si="30"/>
        <v>8</v>
      </c>
      <c r="U100" s="90">
        <f t="shared" si="31"/>
        <v>8</v>
      </c>
      <c r="V100" s="90"/>
      <c r="W100" s="90" t="s">
        <v>703</v>
      </c>
      <c r="X100" s="90" t="s">
        <v>703</v>
      </c>
      <c r="Y100" s="90" t="s">
        <v>703</v>
      </c>
      <c r="Z100" s="90" t="s">
        <v>703</v>
      </c>
      <c r="AA100" s="90" t="s">
        <v>703</v>
      </c>
      <c r="AB100" s="90" t="s">
        <v>703</v>
      </c>
      <c r="AC100" s="90" t="s">
        <v>703</v>
      </c>
      <c r="AD100" s="90" t="s">
        <v>703</v>
      </c>
      <c r="AE100" s="90" t="s">
        <v>703</v>
      </c>
      <c r="AF100" s="90" t="s">
        <v>703</v>
      </c>
      <c r="AG100" s="90" t="s">
        <v>703</v>
      </c>
      <c r="AH100" s="90" t="s">
        <v>703</v>
      </c>
      <c r="AI100" s="90" t="s">
        <v>703</v>
      </c>
      <c r="AJ100" s="90" t="s">
        <v>703</v>
      </c>
      <c r="AK100" s="90" t="s">
        <v>703</v>
      </c>
      <c r="AL100" s="90" t="s">
        <v>703</v>
      </c>
      <c r="AM100" s="90">
        <f t="shared" si="32"/>
        <v>0</v>
      </c>
      <c r="AN100" s="90" t="s">
        <v>703</v>
      </c>
      <c r="AO100" s="90" t="s">
        <v>703</v>
      </c>
      <c r="AP100" s="90" t="s">
        <v>703</v>
      </c>
      <c r="AQ100" s="90" t="s">
        <v>703</v>
      </c>
      <c r="AR100" s="90" t="s">
        <v>703</v>
      </c>
      <c r="AS100" s="90" t="s">
        <v>703</v>
      </c>
      <c r="AT100" s="90" t="s">
        <v>703</v>
      </c>
      <c r="AU100" s="90" t="s">
        <v>703</v>
      </c>
      <c r="AV100" s="90" t="s">
        <v>703</v>
      </c>
      <c r="AW100" s="90" t="s">
        <v>703</v>
      </c>
      <c r="AX100" s="90" t="s">
        <v>702</v>
      </c>
      <c r="BA100" t="s">
        <v>1813</v>
      </c>
      <c r="BB100">
        <v>6</v>
      </c>
      <c r="BC100">
        <v>11</v>
      </c>
      <c r="BD100">
        <v>12</v>
      </c>
      <c r="BE100">
        <v>5</v>
      </c>
      <c r="BF100">
        <v>7</v>
      </c>
      <c r="BG100">
        <v>4</v>
      </c>
      <c r="BH100">
        <v>66</v>
      </c>
      <c r="BI100">
        <v>8</v>
      </c>
    </row>
    <row r="101" spans="1:62">
      <c r="A101" t="s">
        <v>1274</v>
      </c>
      <c r="E101" s="90">
        <f t="shared" si="17"/>
        <v>7</v>
      </c>
      <c r="F101" s="90">
        <f t="shared" si="18"/>
        <v>1</v>
      </c>
      <c r="G101" s="90">
        <f t="shared" si="19"/>
        <v>1</v>
      </c>
      <c r="H101" s="90">
        <f t="shared" si="20"/>
        <v>1</v>
      </c>
      <c r="I101" s="90">
        <f t="shared" si="21"/>
        <v>-5</v>
      </c>
      <c r="J101" s="90">
        <f t="shared" si="22"/>
        <v>-5</v>
      </c>
      <c r="K101" s="242">
        <f t="shared" si="23"/>
        <v>-6</v>
      </c>
      <c r="L101" s="90">
        <f t="shared" si="24"/>
        <v>-8</v>
      </c>
      <c r="M101" s="90">
        <f t="shared" si="25"/>
        <v>-8</v>
      </c>
      <c r="N101" s="90">
        <v>0</v>
      </c>
      <c r="O101" s="90" t="s">
        <v>702</v>
      </c>
      <c r="P101" s="90">
        <f t="shared" si="26"/>
        <v>0</v>
      </c>
      <c r="Q101" s="90">
        <f t="shared" si="27"/>
        <v>0</v>
      </c>
      <c r="R101" s="90">
        <f t="shared" si="28"/>
        <v>0</v>
      </c>
      <c r="S101" s="90">
        <f t="shared" si="29"/>
        <v>0</v>
      </c>
      <c r="T101" s="90">
        <f t="shared" si="30"/>
        <v>0</v>
      </c>
      <c r="U101" s="90">
        <f t="shared" si="31"/>
        <v>0</v>
      </c>
      <c r="V101" s="90"/>
      <c r="W101" s="90" t="s">
        <v>703</v>
      </c>
      <c r="X101" s="90" t="s">
        <v>703</v>
      </c>
      <c r="Y101" s="90" t="s">
        <v>703</v>
      </c>
      <c r="Z101" s="90" t="s">
        <v>703</v>
      </c>
      <c r="AA101" s="90" t="s">
        <v>703</v>
      </c>
      <c r="AB101" s="90" t="s">
        <v>703</v>
      </c>
      <c r="AC101" s="90" t="s">
        <v>703</v>
      </c>
      <c r="AD101" s="90" t="s">
        <v>703</v>
      </c>
      <c r="AE101" s="90" t="s">
        <v>703</v>
      </c>
      <c r="AF101" s="90" t="s">
        <v>703</v>
      </c>
      <c r="AG101" s="90" t="s">
        <v>703</v>
      </c>
      <c r="AH101" s="90" t="s">
        <v>703</v>
      </c>
      <c r="AI101" s="90" t="s">
        <v>703</v>
      </c>
      <c r="AJ101" s="90" t="s">
        <v>703</v>
      </c>
      <c r="AK101" s="90" t="s">
        <v>703</v>
      </c>
      <c r="AL101" s="90" t="s">
        <v>703</v>
      </c>
      <c r="AM101" s="90">
        <f t="shared" si="32"/>
        <v>0</v>
      </c>
      <c r="AN101" s="90" t="s">
        <v>703</v>
      </c>
      <c r="AO101" s="90" t="s">
        <v>703</v>
      </c>
      <c r="AP101" s="90" t="s">
        <v>703</v>
      </c>
      <c r="AQ101" s="90" t="s">
        <v>703</v>
      </c>
      <c r="AR101" s="90" t="s">
        <v>703</v>
      </c>
      <c r="AS101" s="90" t="s">
        <v>703</v>
      </c>
      <c r="AT101" s="90" t="s">
        <v>703</v>
      </c>
      <c r="AU101" s="90" t="s">
        <v>703</v>
      </c>
      <c r="AV101" s="90" t="s">
        <v>703</v>
      </c>
      <c r="AW101" s="90" t="s">
        <v>703</v>
      </c>
      <c r="AX101" s="90" t="s">
        <v>702</v>
      </c>
      <c r="BA101" t="s">
        <v>1274</v>
      </c>
      <c r="BB101">
        <v>5</v>
      </c>
      <c r="BC101">
        <v>7</v>
      </c>
      <c r="BD101">
        <v>5</v>
      </c>
      <c r="BE101">
        <v>3</v>
      </c>
      <c r="BF101">
        <v>3</v>
      </c>
      <c r="BG101">
        <v>2</v>
      </c>
    </row>
    <row r="102" spans="1:62">
      <c r="A102" t="s">
        <v>1335</v>
      </c>
      <c r="E102" s="90">
        <f t="shared" si="17"/>
        <v>-8</v>
      </c>
      <c r="F102" s="90">
        <f t="shared" si="18"/>
        <v>-8</v>
      </c>
      <c r="G102" s="90">
        <f t="shared" si="19"/>
        <v>-8</v>
      </c>
      <c r="H102" s="90">
        <f t="shared" si="20"/>
        <v>1</v>
      </c>
      <c r="I102" s="90">
        <f t="shared" si="21"/>
        <v>-5</v>
      </c>
      <c r="J102" s="90">
        <f t="shared" si="22"/>
        <v>-2</v>
      </c>
      <c r="K102" s="242">
        <f t="shared" si="23"/>
        <v>-5</v>
      </c>
      <c r="L102" s="90">
        <f t="shared" si="24"/>
        <v>-8</v>
      </c>
      <c r="M102" s="90">
        <f t="shared" si="25"/>
        <v>-8</v>
      </c>
      <c r="N102" s="90">
        <v>0</v>
      </c>
      <c r="O102" s="90" t="s">
        <v>702</v>
      </c>
      <c r="P102" s="90">
        <f t="shared" si="26"/>
        <v>0</v>
      </c>
      <c r="Q102" s="90">
        <f t="shared" si="27"/>
        <v>0</v>
      </c>
      <c r="R102" s="90">
        <f t="shared" si="28"/>
        <v>0</v>
      </c>
      <c r="S102" s="90">
        <f t="shared" si="29"/>
        <v>0</v>
      </c>
      <c r="T102" s="90">
        <f t="shared" si="30"/>
        <v>0</v>
      </c>
      <c r="U102" s="90">
        <f t="shared" si="31"/>
        <v>0</v>
      </c>
      <c r="V102" s="90"/>
      <c r="W102" s="90" t="s">
        <v>703</v>
      </c>
      <c r="X102" s="90" t="s">
        <v>703</v>
      </c>
      <c r="Y102" s="90" t="s">
        <v>703</v>
      </c>
      <c r="Z102" s="90" t="s">
        <v>703</v>
      </c>
      <c r="AA102" s="90" t="s">
        <v>703</v>
      </c>
      <c r="AB102" s="90" t="s">
        <v>703</v>
      </c>
      <c r="AC102" s="90" t="s">
        <v>703</v>
      </c>
      <c r="AD102" s="90" t="s">
        <v>703</v>
      </c>
      <c r="AE102" s="90" t="s">
        <v>703</v>
      </c>
      <c r="AF102" s="90" t="s">
        <v>703</v>
      </c>
      <c r="AG102" s="90" t="s">
        <v>703</v>
      </c>
      <c r="AH102" s="90" t="s">
        <v>703</v>
      </c>
      <c r="AI102" s="90" t="s">
        <v>703</v>
      </c>
      <c r="AJ102" s="90" t="s">
        <v>703</v>
      </c>
      <c r="AK102" s="90" t="s">
        <v>703</v>
      </c>
      <c r="AL102" s="90" t="s">
        <v>703</v>
      </c>
      <c r="AM102" s="90">
        <f t="shared" si="32"/>
        <v>0</v>
      </c>
      <c r="AN102" s="90" t="s">
        <v>703</v>
      </c>
      <c r="AO102" s="90" t="s">
        <v>703</v>
      </c>
      <c r="AP102" s="90" t="s">
        <v>703</v>
      </c>
      <c r="AQ102" s="90" t="s">
        <v>703</v>
      </c>
      <c r="AR102" s="90" t="s">
        <v>703</v>
      </c>
      <c r="AS102" s="90" t="s">
        <v>703</v>
      </c>
      <c r="AT102" s="90" t="s">
        <v>703</v>
      </c>
      <c r="AU102" s="90" t="s">
        <v>703</v>
      </c>
      <c r="AV102" s="90" t="s">
        <v>703</v>
      </c>
      <c r="AW102" s="90" t="s">
        <v>703</v>
      </c>
      <c r="AX102" s="90" t="s">
        <v>702</v>
      </c>
      <c r="BA102" t="s">
        <v>1335</v>
      </c>
      <c r="BB102">
        <v>2</v>
      </c>
      <c r="BC102">
        <v>2</v>
      </c>
      <c r="BD102">
        <v>5</v>
      </c>
      <c r="BE102">
        <v>3</v>
      </c>
      <c r="BF102">
        <v>4</v>
      </c>
      <c r="BG102">
        <v>2</v>
      </c>
    </row>
    <row r="103" spans="1:62">
      <c r="A103" t="s">
        <v>1505</v>
      </c>
      <c r="E103" s="90">
        <f t="shared" si="17"/>
        <v>4</v>
      </c>
      <c r="F103" s="90">
        <f t="shared" si="18"/>
        <v>10</v>
      </c>
      <c r="G103" s="90">
        <f t="shared" si="19"/>
        <v>10</v>
      </c>
      <c r="H103" s="90">
        <f t="shared" si="20"/>
        <v>19</v>
      </c>
      <c r="I103" s="90">
        <f t="shared" si="21"/>
        <v>-5</v>
      </c>
      <c r="J103" s="90">
        <f t="shared" si="22"/>
        <v>7</v>
      </c>
      <c r="K103" s="242">
        <f t="shared" si="23"/>
        <v>1</v>
      </c>
      <c r="L103" s="90">
        <f t="shared" si="24"/>
        <v>1</v>
      </c>
      <c r="M103" s="90">
        <f t="shared" si="25"/>
        <v>-8</v>
      </c>
      <c r="N103" s="90">
        <v>0</v>
      </c>
      <c r="O103" s="90" t="s">
        <v>702</v>
      </c>
      <c r="P103" s="90">
        <f t="shared" si="26"/>
        <v>3</v>
      </c>
      <c r="Q103" s="90">
        <f t="shared" si="27"/>
        <v>3</v>
      </c>
      <c r="R103" s="90">
        <f t="shared" si="28"/>
        <v>3</v>
      </c>
      <c r="S103" s="90">
        <f t="shared" si="29"/>
        <v>3</v>
      </c>
      <c r="T103" s="90">
        <f t="shared" si="30"/>
        <v>3</v>
      </c>
      <c r="U103" s="90">
        <f t="shared" si="31"/>
        <v>3</v>
      </c>
      <c r="V103" s="90"/>
      <c r="W103" s="90" t="s">
        <v>703</v>
      </c>
      <c r="X103" s="90" t="s">
        <v>703</v>
      </c>
      <c r="Y103" s="90" t="s">
        <v>703</v>
      </c>
      <c r="Z103" s="90" t="s">
        <v>703</v>
      </c>
      <c r="AA103" s="90" t="s">
        <v>703</v>
      </c>
      <c r="AB103" s="90" t="s">
        <v>703</v>
      </c>
      <c r="AC103" s="90" t="s">
        <v>703</v>
      </c>
      <c r="AD103" s="90" t="s">
        <v>703</v>
      </c>
      <c r="AE103" s="90" t="s">
        <v>703</v>
      </c>
      <c r="AF103" s="90" t="s">
        <v>703</v>
      </c>
      <c r="AG103" s="90" t="s">
        <v>703</v>
      </c>
      <c r="AH103" s="90" t="s">
        <v>703</v>
      </c>
      <c r="AI103" s="90" t="s">
        <v>703</v>
      </c>
      <c r="AJ103" s="90" t="s">
        <v>703</v>
      </c>
      <c r="AK103" s="90" t="s">
        <v>703</v>
      </c>
      <c r="AL103" s="90" t="s">
        <v>703</v>
      </c>
      <c r="AM103" s="90" t="str">
        <f t="shared" si="32"/>
        <v>Copy self</v>
      </c>
      <c r="AN103" s="90" t="s">
        <v>703</v>
      </c>
      <c r="AO103" s="90" t="s">
        <v>703</v>
      </c>
      <c r="AP103" s="90" t="s">
        <v>703</v>
      </c>
      <c r="AQ103" s="90" t="s">
        <v>703</v>
      </c>
      <c r="AR103" s="90" t="s">
        <v>703</v>
      </c>
      <c r="AS103" s="90" t="s">
        <v>703</v>
      </c>
      <c r="AT103" s="90" t="s">
        <v>703</v>
      </c>
      <c r="AU103" s="90" t="s">
        <v>703</v>
      </c>
      <c r="AV103" s="90" t="s">
        <v>703</v>
      </c>
      <c r="AW103" s="90" t="s">
        <v>703</v>
      </c>
      <c r="AX103" s="90" t="s">
        <v>702</v>
      </c>
      <c r="BA103" t="s">
        <v>1505</v>
      </c>
      <c r="BB103">
        <v>8</v>
      </c>
      <c r="BC103">
        <v>6</v>
      </c>
      <c r="BD103">
        <v>11</v>
      </c>
      <c r="BE103">
        <v>3</v>
      </c>
      <c r="BF103">
        <v>7</v>
      </c>
      <c r="BG103">
        <v>5</v>
      </c>
      <c r="BH103">
        <v>35</v>
      </c>
      <c r="BI103">
        <v>3</v>
      </c>
      <c r="BJ103" t="s">
        <v>1506</v>
      </c>
    </row>
    <row r="104" spans="1:62">
      <c r="A104" t="s">
        <v>1953</v>
      </c>
      <c r="E104" s="90">
        <f t="shared" si="17"/>
        <v>16</v>
      </c>
      <c r="F104" s="90">
        <f t="shared" si="18"/>
        <v>7</v>
      </c>
      <c r="G104" s="90">
        <f t="shared" si="19"/>
        <v>7</v>
      </c>
      <c r="H104" s="90">
        <f t="shared" si="20"/>
        <v>13</v>
      </c>
      <c r="I104" s="90">
        <f t="shared" si="21"/>
        <v>7</v>
      </c>
      <c r="J104" s="90">
        <f t="shared" si="22"/>
        <v>7</v>
      </c>
      <c r="K104" s="242">
        <f t="shared" si="23"/>
        <v>10</v>
      </c>
      <c r="L104" s="90">
        <f t="shared" si="24"/>
        <v>16</v>
      </c>
      <c r="M104" s="90">
        <f t="shared" si="25"/>
        <v>-4</v>
      </c>
      <c r="N104" s="90">
        <v>0</v>
      </c>
      <c r="O104" s="90" t="s">
        <v>702</v>
      </c>
      <c r="P104" s="90">
        <f t="shared" si="26"/>
        <v>1</v>
      </c>
      <c r="Q104" s="90">
        <f t="shared" si="27"/>
        <v>1</v>
      </c>
      <c r="R104" s="90">
        <f t="shared" si="28"/>
        <v>1</v>
      </c>
      <c r="S104" s="90">
        <f t="shared" si="29"/>
        <v>1</v>
      </c>
      <c r="T104" s="90">
        <f t="shared" si="30"/>
        <v>1</v>
      </c>
      <c r="U104" s="90">
        <f t="shared" si="31"/>
        <v>1</v>
      </c>
      <c r="V104" s="90"/>
      <c r="W104" s="90" t="s">
        <v>703</v>
      </c>
      <c r="X104" s="90" t="s">
        <v>703</v>
      </c>
      <c r="Y104" s="90" t="s">
        <v>703</v>
      </c>
      <c r="Z104" s="90" t="s">
        <v>703</v>
      </c>
      <c r="AA104" s="90" t="s">
        <v>703</v>
      </c>
      <c r="AB104" s="90" t="s">
        <v>703</v>
      </c>
      <c r="AC104" s="90" t="s">
        <v>703</v>
      </c>
      <c r="AD104" s="90" t="s">
        <v>703</v>
      </c>
      <c r="AE104" s="90" t="s">
        <v>703</v>
      </c>
      <c r="AF104" s="90" t="s">
        <v>703</v>
      </c>
      <c r="AG104" s="90" t="s">
        <v>703</v>
      </c>
      <c r="AH104" s="90" t="s">
        <v>703</v>
      </c>
      <c r="AI104" s="90" t="s">
        <v>703</v>
      </c>
      <c r="AJ104" s="90" t="s">
        <v>703</v>
      </c>
      <c r="AK104" s="90" t="s">
        <v>703</v>
      </c>
      <c r="AL104" s="90" t="s">
        <v>703</v>
      </c>
      <c r="AM104" s="90" t="str">
        <f t="shared" si="32"/>
        <v>soothe</v>
      </c>
      <c r="AN104" s="90" t="s">
        <v>703</v>
      </c>
      <c r="AO104" s="90" t="s">
        <v>703</v>
      </c>
      <c r="AP104" s="90" t="s">
        <v>703</v>
      </c>
      <c r="AQ104" s="90" t="s">
        <v>703</v>
      </c>
      <c r="AR104" s="90" t="s">
        <v>703</v>
      </c>
      <c r="AS104" s="90" t="s">
        <v>703</v>
      </c>
      <c r="AT104" s="90" t="s">
        <v>703</v>
      </c>
      <c r="AU104" s="90" t="s">
        <v>703</v>
      </c>
      <c r="AV104" s="90" t="s">
        <v>703</v>
      </c>
      <c r="AW104" s="90" t="s">
        <v>703</v>
      </c>
      <c r="AX104" s="90" t="s">
        <v>702</v>
      </c>
      <c r="BA104" t="s">
        <v>1953</v>
      </c>
      <c r="BB104">
        <v>7</v>
      </c>
      <c r="BC104">
        <v>10</v>
      </c>
      <c r="BD104">
        <v>9</v>
      </c>
      <c r="BE104">
        <v>7</v>
      </c>
      <c r="BF104">
        <v>7</v>
      </c>
      <c r="BG104">
        <v>10</v>
      </c>
      <c r="BH104">
        <v>50</v>
      </c>
      <c r="BI104">
        <v>1</v>
      </c>
      <c r="BJ104" t="s">
        <v>1734</v>
      </c>
    </row>
    <row r="105" spans="1:62">
      <c r="A105" t="s">
        <v>1532</v>
      </c>
      <c r="E105" s="90">
        <f t="shared" si="17"/>
        <v>85</v>
      </c>
      <c r="F105" s="90">
        <f t="shared" si="18"/>
        <v>79</v>
      </c>
      <c r="G105" s="90">
        <f t="shared" si="19"/>
        <v>79</v>
      </c>
      <c r="H105" s="90">
        <f t="shared" si="20"/>
        <v>70</v>
      </c>
      <c r="I105" s="90">
        <f t="shared" si="21"/>
        <v>91</v>
      </c>
      <c r="J105" s="90">
        <f t="shared" si="22"/>
        <v>106</v>
      </c>
      <c r="K105" s="242">
        <f t="shared" si="23"/>
        <v>90</v>
      </c>
      <c r="L105" s="90">
        <f t="shared" si="24"/>
        <v>73</v>
      </c>
      <c r="M105" s="90">
        <f t="shared" si="25"/>
        <v>24</v>
      </c>
      <c r="N105" s="90">
        <v>0</v>
      </c>
      <c r="O105" s="90" t="s">
        <v>702</v>
      </c>
      <c r="P105" s="90">
        <f t="shared" si="26"/>
        <v>40</v>
      </c>
      <c r="Q105" s="90">
        <f t="shared" si="27"/>
        <v>40</v>
      </c>
      <c r="R105" s="90">
        <f t="shared" si="28"/>
        <v>40</v>
      </c>
      <c r="S105" s="90">
        <f t="shared" si="29"/>
        <v>40</v>
      </c>
      <c r="T105" s="90">
        <f t="shared" si="30"/>
        <v>40</v>
      </c>
      <c r="U105" s="90">
        <f t="shared" si="31"/>
        <v>40</v>
      </c>
      <c r="V105" s="90"/>
      <c r="W105" s="90" t="s">
        <v>703</v>
      </c>
      <c r="X105" s="90" t="s">
        <v>703</v>
      </c>
      <c r="Y105" s="90" t="s">
        <v>703</v>
      </c>
      <c r="Z105" s="90" t="s">
        <v>703</v>
      </c>
      <c r="AA105" s="90" t="s">
        <v>703</v>
      </c>
      <c r="AB105" s="90" t="s">
        <v>703</v>
      </c>
      <c r="AC105" s="90" t="s">
        <v>703</v>
      </c>
      <c r="AD105" s="90" t="s">
        <v>703</v>
      </c>
      <c r="AE105" s="90" t="s">
        <v>703</v>
      </c>
      <c r="AF105" s="90" t="s">
        <v>703</v>
      </c>
      <c r="AG105" s="90" t="s">
        <v>703</v>
      </c>
      <c r="AH105" s="90" t="s">
        <v>703</v>
      </c>
      <c r="AI105" s="90" t="s">
        <v>703</v>
      </c>
      <c r="AJ105" s="90" t="s">
        <v>703</v>
      </c>
      <c r="AK105" s="90" t="s">
        <v>703</v>
      </c>
      <c r="AL105" s="90" t="s">
        <v>703</v>
      </c>
      <c r="AM105" s="90">
        <f t="shared" si="32"/>
        <v>0</v>
      </c>
      <c r="AN105" s="90" t="s">
        <v>703</v>
      </c>
      <c r="AO105" s="90" t="s">
        <v>703</v>
      </c>
      <c r="AP105" s="90" t="s">
        <v>703</v>
      </c>
      <c r="AQ105" s="90" t="s">
        <v>703</v>
      </c>
      <c r="AR105" s="90" t="s">
        <v>703</v>
      </c>
      <c r="AS105" s="90" t="s">
        <v>703</v>
      </c>
      <c r="AT105" s="90" t="s">
        <v>703</v>
      </c>
      <c r="AU105" s="90" t="s">
        <v>703</v>
      </c>
      <c r="AV105" s="90" t="s">
        <v>703</v>
      </c>
      <c r="AW105" s="90" t="s">
        <v>703</v>
      </c>
      <c r="AX105" s="90" t="s">
        <v>702</v>
      </c>
      <c r="BA105" t="s">
        <v>1532</v>
      </c>
      <c r="BB105">
        <v>31</v>
      </c>
      <c r="BC105">
        <v>33</v>
      </c>
      <c r="BD105">
        <v>28</v>
      </c>
      <c r="BE105">
        <v>35</v>
      </c>
      <c r="BF105">
        <v>40</v>
      </c>
      <c r="BG105">
        <v>29</v>
      </c>
      <c r="BH105">
        <v>400</v>
      </c>
      <c r="BI105">
        <v>40</v>
      </c>
    </row>
    <row r="106" spans="1:62">
      <c r="A106" t="s">
        <v>1735</v>
      </c>
      <c r="E106" s="90">
        <f t="shared" si="17"/>
        <v>55</v>
      </c>
      <c r="F106" s="90">
        <f t="shared" si="18"/>
        <v>40</v>
      </c>
      <c r="G106" s="90">
        <f t="shared" si="19"/>
        <v>40</v>
      </c>
      <c r="H106" s="90">
        <f t="shared" si="20"/>
        <v>64</v>
      </c>
      <c r="I106" s="90">
        <f t="shared" si="21"/>
        <v>52</v>
      </c>
      <c r="J106" s="90">
        <f t="shared" si="22"/>
        <v>52</v>
      </c>
      <c r="K106" s="242">
        <f t="shared" si="23"/>
        <v>54</v>
      </c>
      <c r="L106" s="90">
        <f t="shared" si="24"/>
        <v>58</v>
      </c>
      <c r="M106" s="90">
        <f t="shared" si="25"/>
        <v>11</v>
      </c>
      <c r="N106" s="90">
        <v>0</v>
      </c>
      <c r="O106" s="90" t="s">
        <v>702</v>
      </c>
      <c r="P106" s="90">
        <f t="shared" si="26"/>
        <v>27</v>
      </c>
      <c r="Q106" s="90">
        <f t="shared" si="27"/>
        <v>27</v>
      </c>
      <c r="R106" s="90">
        <f t="shared" si="28"/>
        <v>27</v>
      </c>
      <c r="S106" s="90">
        <f t="shared" si="29"/>
        <v>27</v>
      </c>
      <c r="T106" s="90">
        <f t="shared" si="30"/>
        <v>27</v>
      </c>
      <c r="U106" s="90">
        <f t="shared" si="31"/>
        <v>27</v>
      </c>
      <c r="V106" s="90"/>
      <c r="W106" s="90" t="s">
        <v>703</v>
      </c>
      <c r="X106" s="90" t="s">
        <v>703</v>
      </c>
      <c r="Y106" s="90" t="s">
        <v>703</v>
      </c>
      <c r="Z106" s="90" t="s">
        <v>703</v>
      </c>
      <c r="AA106" s="90" t="s">
        <v>703</v>
      </c>
      <c r="AB106" s="90" t="s">
        <v>703</v>
      </c>
      <c r="AC106" s="90" t="s">
        <v>703</v>
      </c>
      <c r="AD106" s="90" t="s">
        <v>703</v>
      </c>
      <c r="AE106" s="90" t="s">
        <v>703</v>
      </c>
      <c r="AF106" s="90" t="s">
        <v>703</v>
      </c>
      <c r="AG106" s="90" t="s">
        <v>703</v>
      </c>
      <c r="AH106" s="90" t="s">
        <v>703</v>
      </c>
      <c r="AI106" s="90" t="s">
        <v>703</v>
      </c>
      <c r="AJ106" s="90" t="s">
        <v>703</v>
      </c>
      <c r="AK106" s="90" t="s">
        <v>703</v>
      </c>
      <c r="AL106" s="90" t="s">
        <v>703</v>
      </c>
      <c r="AM106" s="90" t="str">
        <f t="shared" si="32"/>
        <v>Dragon Powers</v>
      </c>
      <c r="AN106" s="90" t="s">
        <v>703</v>
      </c>
      <c r="AO106" s="90" t="s">
        <v>703</v>
      </c>
      <c r="AP106" s="90" t="s">
        <v>703</v>
      </c>
      <c r="AQ106" s="90" t="s">
        <v>703</v>
      </c>
      <c r="AR106" s="90" t="s">
        <v>703</v>
      </c>
      <c r="AS106" s="90" t="s">
        <v>703</v>
      </c>
      <c r="AT106" s="90" t="s">
        <v>703</v>
      </c>
      <c r="AU106" s="90" t="s">
        <v>703</v>
      </c>
      <c r="AV106" s="90" t="s">
        <v>703</v>
      </c>
      <c r="AW106" s="90" t="s">
        <v>703</v>
      </c>
      <c r="AX106" s="90" t="s">
        <v>702</v>
      </c>
      <c r="BA106" t="s">
        <v>1735</v>
      </c>
      <c r="BB106">
        <v>18</v>
      </c>
      <c r="BC106">
        <v>23</v>
      </c>
      <c r="BD106">
        <v>26</v>
      </c>
      <c r="BE106">
        <v>22</v>
      </c>
      <c r="BF106">
        <v>22</v>
      </c>
      <c r="BG106">
        <v>24</v>
      </c>
      <c r="BH106">
        <v>240</v>
      </c>
      <c r="BI106">
        <v>27</v>
      </c>
      <c r="BJ106" t="s">
        <v>1970</v>
      </c>
    </row>
    <row r="107" spans="1:62">
      <c r="A107" t="s">
        <v>2100</v>
      </c>
      <c r="E107" s="90">
        <f t="shared" si="17"/>
        <v>1</v>
      </c>
      <c r="F107" s="90">
        <f t="shared" si="18"/>
        <v>-2</v>
      </c>
      <c r="G107" s="90">
        <f t="shared" si="19"/>
        <v>-2</v>
      </c>
      <c r="H107" s="90">
        <f t="shared" si="20"/>
        <v>-5</v>
      </c>
      <c r="I107" s="90">
        <f t="shared" si="21"/>
        <v>-5</v>
      </c>
      <c r="J107" s="90">
        <f t="shared" si="22"/>
        <v>1</v>
      </c>
      <c r="K107" s="242">
        <f t="shared" si="23"/>
        <v>-2</v>
      </c>
      <c r="L107" s="90">
        <f t="shared" si="24"/>
        <v>-2</v>
      </c>
      <c r="M107" s="90">
        <f t="shared" si="25"/>
        <v>-8</v>
      </c>
      <c r="N107" s="90">
        <v>0</v>
      </c>
      <c r="O107" s="90" t="s">
        <v>702</v>
      </c>
      <c r="P107" s="90">
        <f t="shared" si="26"/>
        <v>2</v>
      </c>
      <c r="Q107" s="90">
        <f t="shared" si="27"/>
        <v>2</v>
      </c>
      <c r="R107" s="90">
        <f t="shared" si="28"/>
        <v>2</v>
      </c>
      <c r="S107" s="90">
        <f t="shared" si="29"/>
        <v>2</v>
      </c>
      <c r="T107" s="90">
        <f t="shared" si="30"/>
        <v>2</v>
      </c>
      <c r="U107" s="90">
        <f t="shared" si="31"/>
        <v>2</v>
      </c>
      <c r="V107" s="90"/>
      <c r="W107" s="90" t="s">
        <v>703</v>
      </c>
      <c r="X107" s="90" t="s">
        <v>703</v>
      </c>
      <c r="Y107" s="90" t="s">
        <v>703</v>
      </c>
      <c r="Z107" s="90" t="s">
        <v>703</v>
      </c>
      <c r="AA107" s="90" t="s">
        <v>703</v>
      </c>
      <c r="AB107" s="90" t="s">
        <v>703</v>
      </c>
      <c r="AC107" s="90" t="s">
        <v>703</v>
      </c>
      <c r="AD107" s="90" t="s">
        <v>703</v>
      </c>
      <c r="AE107" s="90" t="s">
        <v>703</v>
      </c>
      <c r="AF107" s="90" t="s">
        <v>703</v>
      </c>
      <c r="AG107" s="90" t="s">
        <v>703</v>
      </c>
      <c r="AH107" s="90" t="s">
        <v>703</v>
      </c>
      <c r="AI107" s="90" t="s">
        <v>703</v>
      </c>
      <c r="AJ107" s="90" t="s">
        <v>703</v>
      </c>
      <c r="AK107" s="90" t="s">
        <v>703</v>
      </c>
      <c r="AL107" s="90" t="s">
        <v>703</v>
      </c>
      <c r="AM107" s="90" t="str">
        <f t="shared" si="32"/>
        <v>Listness</v>
      </c>
      <c r="AN107" s="90" t="s">
        <v>703</v>
      </c>
      <c r="AO107" s="90" t="s">
        <v>703</v>
      </c>
      <c r="AP107" s="90" t="s">
        <v>703</v>
      </c>
      <c r="AQ107" s="90" t="s">
        <v>703</v>
      </c>
      <c r="AR107" s="90" t="s">
        <v>703</v>
      </c>
      <c r="AS107" s="90" t="s">
        <v>703</v>
      </c>
      <c r="AT107" s="90" t="s">
        <v>703</v>
      </c>
      <c r="AU107" s="90" t="s">
        <v>703</v>
      </c>
      <c r="AV107" s="90" t="s">
        <v>703</v>
      </c>
      <c r="AW107" s="90" t="s">
        <v>703</v>
      </c>
      <c r="AX107" s="90" t="s">
        <v>702</v>
      </c>
      <c r="BA107" t="s">
        <v>2100</v>
      </c>
      <c r="BB107">
        <v>4</v>
      </c>
      <c r="BC107">
        <v>5</v>
      </c>
      <c r="BD107">
        <v>3</v>
      </c>
      <c r="BE107">
        <v>3</v>
      </c>
      <c r="BF107">
        <v>5</v>
      </c>
      <c r="BG107">
        <v>4</v>
      </c>
      <c r="BH107">
        <v>40</v>
      </c>
      <c r="BI107">
        <v>2</v>
      </c>
      <c r="BJ107" t="s">
        <v>2109</v>
      </c>
    </row>
    <row r="108" spans="1:62">
      <c r="A108" t="s">
        <v>1779</v>
      </c>
      <c r="E108" s="90">
        <f t="shared" si="17"/>
        <v>-8</v>
      </c>
      <c r="F108" s="90">
        <f t="shared" si="18"/>
        <v>-2</v>
      </c>
      <c r="G108" s="90">
        <f t="shared" si="19"/>
        <v>-2</v>
      </c>
      <c r="H108" s="90">
        <f t="shared" si="20"/>
        <v>-5</v>
      </c>
      <c r="I108" s="90">
        <f t="shared" si="21"/>
        <v>-8</v>
      </c>
      <c r="J108" s="90">
        <f t="shared" si="22"/>
        <v>1</v>
      </c>
      <c r="K108" s="242">
        <f t="shared" si="23"/>
        <v>-4</v>
      </c>
      <c r="L108" s="90">
        <f t="shared" si="24"/>
        <v>-5</v>
      </c>
      <c r="M108" s="90">
        <f t="shared" si="25"/>
        <v>-9</v>
      </c>
      <c r="N108" s="90">
        <v>0</v>
      </c>
      <c r="O108" s="90" t="s">
        <v>702</v>
      </c>
      <c r="P108" s="90">
        <f t="shared" si="26"/>
        <v>1</v>
      </c>
      <c r="Q108" s="90">
        <f t="shared" si="27"/>
        <v>1</v>
      </c>
      <c r="R108" s="90">
        <f t="shared" si="28"/>
        <v>1</v>
      </c>
      <c r="S108" s="90">
        <f t="shared" si="29"/>
        <v>1</v>
      </c>
      <c r="T108" s="90">
        <f t="shared" si="30"/>
        <v>1</v>
      </c>
      <c r="U108" s="90">
        <f t="shared" si="31"/>
        <v>1</v>
      </c>
      <c r="V108" s="90"/>
      <c r="W108" s="90" t="s">
        <v>703</v>
      </c>
      <c r="X108" s="90" t="s">
        <v>703</v>
      </c>
      <c r="Y108" s="90" t="s">
        <v>703</v>
      </c>
      <c r="Z108" s="90" t="s">
        <v>703</v>
      </c>
      <c r="AA108" s="90" t="s">
        <v>703</v>
      </c>
      <c r="AB108" s="90" t="s">
        <v>703</v>
      </c>
      <c r="AC108" s="90" t="s">
        <v>703</v>
      </c>
      <c r="AD108" s="90" t="s">
        <v>703</v>
      </c>
      <c r="AE108" s="90" t="s">
        <v>703</v>
      </c>
      <c r="AF108" s="90" t="s">
        <v>703</v>
      </c>
      <c r="AG108" s="90" t="s">
        <v>703</v>
      </c>
      <c r="AH108" s="90" t="s">
        <v>703</v>
      </c>
      <c r="AI108" s="90" t="s">
        <v>703</v>
      </c>
      <c r="AJ108" s="90" t="s">
        <v>703</v>
      </c>
      <c r="AK108" s="90" t="s">
        <v>703</v>
      </c>
      <c r="AL108" s="90" t="s">
        <v>703</v>
      </c>
      <c r="AM108" s="90" t="str">
        <f t="shared" si="32"/>
        <v>Spells</v>
      </c>
      <c r="AN108" s="90" t="s">
        <v>703</v>
      </c>
      <c r="AO108" s="90" t="s">
        <v>703</v>
      </c>
      <c r="AP108" s="90" t="s">
        <v>703</v>
      </c>
      <c r="AQ108" s="90" t="s">
        <v>703</v>
      </c>
      <c r="AR108" s="90" t="s">
        <v>703</v>
      </c>
      <c r="AS108" s="90" t="s">
        <v>703</v>
      </c>
      <c r="AT108" s="90" t="s">
        <v>703</v>
      </c>
      <c r="AU108" s="90" t="s">
        <v>703</v>
      </c>
      <c r="AV108" s="90" t="s">
        <v>703</v>
      </c>
      <c r="AW108" s="90" t="s">
        <v>703</v>
      </c>
      <c r="AX108" s="90" t="s">
        <v>702</v>
      </c>
      <c r="BA108" t="s">
        <v>1779</v>
      </c>
      <c r="BB108">
        <v>4</v>
      </c>
      <c r="BC108">
        <v>2</v>
      </c>
      <c r="BD108">
        <v>3</v>
      </c>
      <c r="BE108">
        <v>2</v>
      </c>
      <c r="BF108">
        <v>5</v>
      </c>
      <c r="BG108">
        <v>3</v>
      </c>
      <c r="BH108">
        <v>20</v>
      </c>
      <c r="BI108">
        <v>1</v>
      </c>
      <c r="BJ108" t="s">
        <v>1938</v>
      </c>
    </row>
    <row r="109" spans="1:62">
      <c r="A109" t="s">
        <v>1266</v>
      </c>
      <c r="E109" s="90">
        <f t="shared" si="17"/>
        <v>1</v>
      </c>
      <c r="F109" s="90">
        <f t="shared" si="18"/>
        <v>4</v>
      </c>
      <c r="G109" s="90">
        <f t="shared" si="19"/>
        <v>4</v>
      </c>
      <c r="H109" s="90">
        <f t="shared" si="20"/>
        <v>-2</v>
      </c>
      <c r="I109" s="90">
        <f t="shared" si="21"/>
        <v>1</v>
      </c>
      <c r="J109" s="90">
        <f t="shared" si="22"/>
        <v>-2</v>
      </c>
      <c r="K109" s="242">
        <f t="shared" si="23"/>
        <v>-2</v>
      </c>
      <c r="L109" s="90">
        <f t="shared" si="24"/>
        <v>-5</v>
      </c>
      <c r="M109" s="90">
        <f t="shared" si="25"/>
        <v>-6</v>
      </c>
      <c r="N109" s="90">
        <v>0</v>
      </c>
      <c r="O109" s="90" t="s">
        <v>702</v>
      </c>
      <c r="P109" s="90">
        <f t="shared" si="26"/>
        <v>0</v>
      </c>
      <c r="Q109" s="90">
        <f t="shared" si="27"/>
        <v>0</v>
      </c>
      <c r="R109" s="90">
        <f t="shared" si="28"/>
        <v>0</v>
      </c>
      <c r="S109" s="90">
        <f t="shared" si="29"/>
        <v>0</v>
      </c>
      <c r="T109" s="90">
        <f t="shared" si="30"/>
        <v>0</v>
      </c>
      <c r="U109" s="90">
        <f t="shared" si="31"/>
        <v>0</v>
      </c>
      <c r="V109" s="90"/>
      <c r="W109" s="90" t="s">
        <v>703</v>
      </c>
      <c r="X109" s="90" t="s">
        <v>703</v>
      </c>
      <c r="Y109" s="90" t="s">
        <v>703</v>
      </c>
      <c r="Z109" s="90" t="s">
        <v>703</v>
      </c>
      <c r="AA109" s="90" t="s">
        <v>703</v>
      </c>
      <c r="AB109" s="90" t="s">
        <v>703</v>
      </c>
      <c r="AC109" s="90" t="s">
        <v>703</v>
      </c>
      <c r="AD109" s="90" t="s">
        <v>703</v>
      </c>
      <c r="AE109" s="90" t="s">
        <v>703</v>
      </c>
      <c r="AF109" s="90" t="s">
        <v>703</v>
      </c>
      <c r="AG109" s="90" t="s">
        <v>703</v>
      </c>
      <c r="AH109" s="90" t="s">
        <v>703</v>
      </c>
      <c r="AI109" s="90" t="s">
        <v>703</v>
      </c>
      <c r="AJ109" s="90" t="s">
        <v>703</v>
      </c>
      <c r="AK109" s="90" t="s">
        <v>703</v>
      </c>
      <c r="AL109" s="90" t="s">
        <v>703</v>
      </c>
      <c r="AM109" s="90">
        <f t="shared" si="32"/>
        <v>0</v>
      </c>
      <c r="AN109" s="90" t="s">
        <v>703</v>
      </c>
      <c r="AO109" s="90" t="s">
        <v>703</v>
      </c>
      <c r="AP109" s="90" t="s">
        <v>703</v>
      </c>
      <c r="AQ109" s="90" t="s">
        <v>703</v>
      </c>
      <c r="AR109" s="90" t="s">
        <v>703</v>
      </c>
      <c r="AS109" s="90" t="s">
        <v>703</v>
      </c>
      <c r="AT109" s="90" t="s">
        <v>703</v>
      </c>
      <c r="AU109" s="90" t="s">
        <v>703</v>
      </c>
      <c r="AV109" s="90" t="s">
        <v>703</v>
      </c>
      <c r="AW109" s="90" t="s">
        <v>703</v>
      </c>
      <c r="AX109" s="90" t="s">
        <v>702</v>
      </c>
      <c r="BA109" t="s">
        <v>1266</v>
      </c>
      <c r="BB109">
        <v>6</v>
      </c>
      <c r="BC109">
        <v>5</v>
      </c>
      <c r="BD109">
        <v>4</v>
      </c>
      <c r="BE109">
        <v>5</v>
      </c>
      <c r="BF109">
        <v>4</v>
      </c>
      <c r="BG109">
        <v>3</v>
      </c>
    </row>
    <row r="110" spans="1:62">
      <c r="A110" t="s">
        <v>1751</v>
      </c>
      <c r="E110" s="90">
        <f t="shared" si="17"/>
        <v>16</v>
      </c>
      <c r="F110" s="90">
        <f t="shared" si="18"/>
        <v>22</v>
      </c>
      <c r="G110" s="90">
        <f t="shared" si="19"/>
        <v>22</v>
      </c>
      <c r="H110" s="90">
        <f t="shared" si="20"/>
        <v>16</v>
      </c>
      <c r="I110" s="90">
        <f t="shared" si="21"/>
        <v>25</v>
      </c>
      <c r="J110" s="90">
        <f t="shared" si="22"/>
        <v>19</v>
      </c>
      <c r="K110" s="242">
        <f t="shared" si="23"/>
        <v>18</v>
      </c>
      <c r="L110" s="90">
        <f t="shared" si="24"/>
        <v>10</v>
      </c>
      <c r="M110" s="90">
        <f t="shared" si="25"/>
        <v>2</v>
      </c>
      <c r="N110" s="90">
        <v>0</v>
      </c>
      <c r="O110" s="90" t="s">
        <v>702</v>
      </c>
      <c r="P110" s="90">
        <f t="shared" si="26"/>
        <v>18</v>
      </c>
      <c r="Q110" s="90">
        <f t="shared" si="27"/>
        <v>18</v>
      </c>
      <c r="R110" s="90">
        <f t="shared" si="28"/>
        <v>18</v>
      </c>
      <c r="S110" s="90">
        <f t="shared" si="29"/>
        <v>18</v>
      </c>
      <c r="T110" s="90">
        <f t="shared" si="30"/>
        <v>18</v>
      </c>
      <c r="U110" s="90">
        <f t="shared" si="31"/>
        <v>18</v>
      </c>
      <c r="V110" s="90"/>
      <c r="W110" s="90" t="s">
        <v>703</v>
      </c>
      <c r="X110" s="90" t="s">
        <v>703</v>
      </c>
      <c r="Y110" s="90" t="s">
        <v>703</v>
      </c>
      <c r="Z110" s="90" t="s">
        <v>703</v>
      </c>
      <c r="AA110" s="90" t="s">
        <v>703</v>
      </c>
      <c r="AB110" s="90" t="s">
        <v>703</v>
      </c>
      <c r="AC110" s="90" t="s">
        <v>703</v>
      </c>
      <c r="AD110" s="90" t="s">
        <v>703</v>
      </c>
      <c r="AE110" s="90" t="s">
        <v>703</v>
      </c>
      <c r="AF110" s="90" t="s">
        <v>703</v>
      </c>
      <c r="AG110" s="90" t="s">
        <v>703</v>
      </c>
      <c r="AH110" s="90" t="s">
        <v>703</v>
      </c>
      <c r="AI110" s="90" t="s">
        <v>703</v>
      </c>
      <c r="AJ110" s="90" t="s">
        <v>703</v>
      </c>
      <c r="AK110" s="90" t="s">
        <v>703</v>
      </c>
      <c r="AL110" s="90" t="s">
        <v>703</v>
      </c>
      <c r="AM110" s="90">
        <f t="shared" si="32"/>
        <v>0</v>
      </c>
      <c r="AN110" s="90" t="s">
        <v>703</v>
      </c>
      <c r="AO110" s="90" t="s">
        <v>703</v>
      </c>
      <c r="AP110" s="90" t="s">
        <v>703</v>
      </c>
      <c r="AQ110" s="90" t="s">
        <v>703</v>
      </c>
      <c r="AR110" s="90" t="s">
        <v>703</v>
      </c>
      <c r="AS110" s="90" t="s">
        <v>703</v>
      </c>
      <c r="AT110" s="90" t="s">
        <v>703</v>
      </c>
      <c r="AU110" s="90" t="s">
        <v>703</v>
      </c>
      <c r="AV110" s="90" t="s">
        <v>703</v>
      </c>
      <c r="AW110" s="90" t="s">
        <v>703</v>
      </c>
      <c r="AX110" s="90" t="s">
        <v>702</v>
      </c>
      <c r="BA110" t="s">
        <v>1751</v>
      </c>
      <c r="BB110">
        <v>12</v>
      </c>
      <c r="BC110">
        <v>10</v>
      </c>
      <c r="BD110">
        <v>10</v>
      </c>
      <c r="BE110">
        <v>13</v>
      </c>
      <c r="BF110">
        <v>11</v>
      </c>
      <c r="BG110">
        <v>8</v>
      </c>
      <c r="BH110">
        <v>110</v>
      </c>
      <c r="BI110">
        <v>18</v>
      </c>
    </row>
    <row r="111" spans="1:62">
      <c r="A111" t="s">
        <v>1079</v>
      </c>
      <c r="E111" s="90">
        <f t="shared" si="17"/>
        <v>22</v>
      </c>
      <c r="F111" s="90">
        <f t="shared" si="18"/>
        <v>22</v>
      </c>
      <c r="G111" s="90">
        <f t="shared" si="19"/>
        <v>22</v>
      </c>
      <c r="H111" s="90">
        <f t="shared" si="20"/>
        <v>16</v>
      </c>
      <c r="I111" s="90">
        <f t="shared" si="21"/>
        <v>4</v>
      </c>
      <c r="J111" s="90">
        <f t="shared" si="22"/>
        <v>10</v>
      </c>
      <c r="K111" s="242">
        <f t="shared" si="23"/>
        <v>5</v>
      </c>
      <c r="L111" s="90">
        <f t="shared" si="24"/>
        <v>1</v>
      </c>
      <c r="M111" s="90">
        <f t="shared" si="25"/>
        <v>-5</v>
      </c>
      <c r="N111" s="90">
        <v>0</v>
      </c>
      <c r="O111" s="90" t="s">
        <v>702</v>
      </c>
      <c r="P111" s="90">
        <f t="shared" si="26"/>
        <v>9</v>
      </c>
      <c r="Q111" s="90">
        <f t="shared" si="27"/>
        <v>9</v>
      </c>
      <c r="R111" s="90">
        <f t="shared" si="28"/>
        <v>9</v>
      </c>
      <c r="S111" s="90">
        <f t="shared" si="29"/>
        <v>9</v>
      </c>
      <c r="T111" s="90">
        <f t="shared" si="30"/>
        <v>9</v>
      </c>
      <c r="U111" s="90">
        <f t="shared" si="31"/>
        <v>9</v>
      </c>
      <c r="V111" s="90"/>
      <c r="W111" s="90" t="s">
        <v>703</v>
      </c>
      <c r="X111" s="90" t="s">
        <v>703</v>
      </c>
      <c r="Y111" s="90" t="s">
        <v>703</v>
      </c>
      <c r="Z111" s="90" t="s">
        <v>703</v>
      </c>
      <c r="AA111" s="90" t="s">
        <v>703</v>
      </c>
      <c r="AB111" s="90" t="s">
        <v>703</v>
      </c>
      <c r="AC111" s="90" t="s">
        <v>703</v>
      </c>
      <c r="AD111" s="90" t="s">
        <v>703</v>
      </c>
      <c r="AE111" s="90" t="s">
        <v>703</v>
      </c>
      <c r="AF111" s="90" t="s">
        <v>703</v>
      </c>
      <c r="AG111" s="90" t="s">
        <v>703</v>
      </c>
      <c r="AH111" s="90" t="s">
        <v>703</v>
      </c>
      <c r="AI111" s="90" t="s">
        <v>703</v>
      </c>
      <c r="AJ111" s="90" t="s">
        <v>703</v>
      </c>
      <c r="AK111" s="90" t="s">
        <v>703</v>
      </c>
      <c r="AL111" s="90" t="s">
        <v>703</v>
      </c>
      <c r="AM111" s="90" t="str">
        <f t="shared" si="32"/>
        <v>Poison</v>
      </c>
      <c r="AN111" s="90" t="s">
        <v>703</v>
      </c>
      <c r="AO111" s="90" t="s">
        <v>703</v>
      </c>
      <c r="AP111" s="90" t="s">
        <v>703</v>
      </c>
      <c r="AQ111" s="90" t="s">
        <v>703</v>
      </c>
      <c r="AR111" s="90" t="s">
        <v>703</v>
      </c>
      <c r="AS111" s="90" t="s">
        <v>703</v>
      </c>
      <c r="AT111" s="90" t="s">
        <v>703</v>
      </c>
      <c r="AU111" s="90" t="s">
        <v>703</v>
      </c>
      <c r="AV111" s="90" t="s">
        <v>703</v>
      </c>
      <c r="AW111" s="90" t="s">
        <v>703</v>
      </c>
      <c r="AX111" s="90" t="s">
        <v>702</v>
      </c>
      <c r="BA111" t="s">
        <v>1079</v>
      </c>
      <c r="BB111">
        <v>12</v>
      </c>
      <c r="BC111">
        <v>12</v>
      </c>
      <c r="BD111">
        <v>10</v>
      </c>
      <c r="BE111">
        <v>6</v>
      </c>
      <c r="BF111">
        <v>8</v>
      </c>
      <c r="BG111">
        <v>5</v>
      </c>
      <c r="BH111">
        <v>80</v>
      </c>
      <c r="BI111">
        <v>9</v>
      </c>
      <c r="BJ111" t="s">
        <v>2368</v>
      </c>
    </row>
  </sheetData>
  <sheetCalcPr fullCalcOnLoad="1"/>
  <phoneticPr fontId="0" type="noConversion"/>
  <pageMargins left="0.75" right="0.75" top="1" bottom="1" header="0.5" footer="0.5"/>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X235"/>
  <sheetViews>
    <sheetView workbookViewId="0"/>
  </sheetViews>
  <sheetFormatPr baseColWidth="10" defaultColWidth="11" defaultRowHeight="13"/>
  <cols>
    <col min="2" max="3" width="10.83203125" style="99" customWidth="1"/>
    <col min="4" max="6" width="10.83203125" style="90" customWidth="1"/>
    <col min="7" max="7" width="10.83203125" style="99" customWidth="1"/>
    <col min="8" max="8" width="11" style="146"/>
    <col min="9" max="12" width="10.83203125" style="90" customWidth="1"/>
    <col min="15" max="22" width="11" style="146"/>
    <col min="23" max="24" width="11" style="90"/>
  </cols>
  <sheetData>
    <row r="1" spans="1:24" s="88" customFormat="1">
      <c r="A1" s="88" t="s">
        <v>2008</v>
      </c>
      <c r="B1" s="170" t="s">
        <v>2009</v>
      </c>
      <c r="C1" s="170" t="s">
        <v>1125</v>
      </c>
      <c r="D1" s="5" t="s">
        <v>2010</v>
      </c>
      <c r="E1" s="5" t="s">
        <v>2011</v>
      </c>
      <c r="F1" s="5" t="s">
        <v>2012</v>
      </c>
      <c r="G1" s="170" t="s">
        <v>2013</v>
      </c>
      <c r="H1" s="170" t="s">
        <v>2059</v>
      </c>
      <c r="I1" s="5" t="s">
        <v>2014</v>
      </c>
      <c r="J1" s="5" t="s">
        <v>2015</v>
      </c>
      <c r="K1" s="5" t="s">
        <v>2016</v>
      </c>
      <c r="L1" s="5" t="s">
        <v>1775</v>
      </c>
      <c r="M1" s="88" t="s">
        <v>1776</v>
      </c>
      <c r="O1" s="301" t="s">
        <v>2071</v>
      </c>
      <c r="P1" s="301" t="s">
        <v>2350</v>
      </c>
      <c r="Q1" s="301" t="s">
        <v>2351</v>
      </c>
      <c r="R1" s="301" t="s">
        <v>1954</v>
      </c>
      <c r="S1" s="301" t="s">
        <v>1955</v>
      </c>
      <c r="T1" s="301" t="s">
        <v>1956</v>
      </c>
      <c r="U1" s="301" t="s">
        <v>1402</v>
      </c>
      <c r="V1" s="301" t="s">
        <v>1278</v>
      </c>
      <c r="W1" s="148" t="s">
        <v>1125</v>
      </c>
      <c r="X1" s="148" t="s">
        <v>2059</v>
      </c>
    </row>
    <row r="2" spans="1:24">
      <c r="A2" t="s">
        <v>1220</v>
      </c>
      <c r="B2" s="99">
        <v>4</v>
      </c>
      <c r="D2" s="90">
        <v>2</v>
      </c>
      <c r="E2" s="90">
        <v>5</v>
      </c>
      <c r="F2" s="90">
        <v>3</v>
      </c>
      <c r="G2" s="99">
        <v>3</v>
      </c>
      <c r="H2" s="99">
        <v>3</v>
      </c>
      <c r="I2" s="90">
        <v>4</v>
      </c>
      <c r="J2" s="90">
        <v>6</v>
      </c>
      <c r="K2" s="90">
        <v>2</v>
      </c>
      <c r="L2" s="90" t="s">
        <v>1746</v>
      </c>
      <c r="M2" t="s">
        <v>1390</v>
      </c>
      <c r="O2" s="146">
        <f>E2*3</f>
        <v>15</v>
      </c>
      <c r="P2" s="146">
        <f>D2*3</f>
        <v>6</v>
      </c>
      <c r="Q2" s="146">
        <f>D2*3</f>
        <v>6</v>
      </c>
      <c r="R2" s="146">
        <f>B2*3</f>
        <v>12</v>
      </c>
      <c r="S2" s="146">
        <f>G2*3</f>
        <v>9</v>
      </c>
      <c r="T2" s="146">
        <f>I2*3</f>
        <v>12</v>
      </c>
      <c r="U2" s="146">
        <f>J2*3</f>
        <v>18</v>
      </c>
      <c r="V2" s="146">
        <f>F2*3</f>
        <v>9</v>
      </c>
      <c r="W2" s="90">
        <f>C2</f>
        <v>0</v>
      </c>
      <c r="X2" s="90">
        <f>H2</f>
        <v>3</v>
      </c>
    </row>
    <row r="3" spans="1:24">
      <c r="A3" t="s">
        <v>1485</v>
      </c>
      <c r="B3" s="99">
        <v>3</v>
      </c>
      <c r="D3" s="90">
        <v>4</v>
      </c>
      <c r="E3" s="90">
        <v>3</v>
      </c>
      <c r="F3" s="90">
        <v>5</v>
      </c>
      <c r="G3" s="99">
        <v>3</v>
      </c>
      <c r="H3" s="99">
        <v>3</v>
      </c>
      <c r="I3" s="90">
        <v>3</v>
      </c>
      <c r="J3" s="90">
        <v>6</v>
      </c>
      <c r="K3" s="90">
        <v>3</v>
      </c>
      <c r="L3" s="90" t="s">
        <v>1746</v>
      </c>
      <c r="M3" t="s">
        <v>1486</v>
      </c>
      <c r="O3" s="146">
        <f t="shared" ref="O3:O66" si="0">E3*3</f>
        <v>9</v>
      </c>
      <c r="P3" s="146">
        <f t="shared" ref="P3:P66" si="1">D3*3</f>
        <v>12</v>
      </c>
      <c r="Q3" s="146">
        <f t="shared" ref="Q3:Q66" si="2">D3*3</f>
        <v>12</v>
      </c>
      <c r="R3" s="146">
        <f t="shared" ref="R3:R66" si="3">B3*3</f>
        <v>9</v>
      </c>
      <c r="S3" s="146">
        <f t="shared" ref="S3:S66" si="4">G3*3</f>
        <v>9</v>
      </c>
      <c r="T3" s="146">
        <f t="shared" ref="T3:T66" si="5">I3*3</f>
        <v>9</v>
      </c>
      <c r="U3" s="146">
        <f t="shared" ref="U3:U66" si="6">J3*3</f>
        <v>18</v>
      </c>
      <c r="V3" s="146">
        <f t="shared" ref="V3:V66" si="7">F3*3</f>
        <v>15</v>
      </c>
      <c r="W3" s="90">
        <f t="shared" ref="W3:W66" si="8">C3</f>
        <v>0</v>
      </c>
      <c r="X3" s="90">
        <f t="shared" ref="X3:X66" si="9">H3</f>
        <v>3</v>
      </c>
    </row>
    <row r="4" spans="1:24">
      <c r="A4" t="s">
        <v>1636</v>
      </c>
      <c r="B4" s="99">
        <v>3</v>
      </c>
      <c r="D4" s="90">
        <v>3</v>
      </c>
      <c r="E4" s="90">
        <v>3</v>
      </c>
      <c r="F4" s="90">
        <v>3</v>
      </c>
      <c r="G4" s="99">
        <v>3</v>
      </c>
      <c r="H4" s="99">
        <v>3</v>
      </c>
      <c r="I4" s="90">
        <v>3</v>
      </c>
      <c r="J4" s="90">
        <v>6</v>
      </c>
      <c r="K4" s="90">
        <v>3</v>
      </c>
      <c r="L4" s="90" t="s">
        <v>1746</v>
      </c>
      <c r="O4" s="146">
        <f t="shared" si="0"/>
        <v>9</v>
      </c>
      <c r="P4" s="146">
        <f t="shared" si="1"/>
        <v>9</v>
      </c>
      <c r="Q4" s="146">
        <f t="shared" si="2"/>
        <v>9</v>
      </c>
      <c r="R4" s="146">
        <f t="shared" si="3"/>
        <v>9</v>
      </c>
      <c r="S4" s="146">
        <f t="shared" si="4"/>
        <v>9</v>
      </c>
      <c r="T4" s="146">
        <f t="shared" si="5"/>
        <v>9</v>
      </c>
      <c r="U4" s="146">
        <f t="shared" si="6"/>
        <v>18</v>
      </c>
      <c r="V4" s="146">
        <f t="shared" si="7"/>
        <v>9</v>
      </c>
      <c r="W4" s="90">
        <f t="shared" si="8"/>
        <v>0</v>
      </c>
      <c r="X4" s="90">
        <f t="shared" si="9"/>
        <v>3</v>
      </c>
    </row>
    <row r="5" spans="1:24">
      <c r="A5" t="s">
        <v>1487</v>
      </c>
      <c r="B5" s="99">
        <v>6</v>
      </c>
      <c r="D5" s="90">
        <v>3</v>
      </c>
      <c r="E5" s="90">
        <v>5</v>
      </c>
      <c r="F5" s="90">
        <v>2</v>
      </c>
      <c r="G5" s="99">
        <v>2</v>
      </c>
      <c r="H5" s="99">
        <v>2</v>
      </c>
      <c r="I5" s="90">
        <v>3</v>
      </c>
      <c r="J5" s="90">
        <v>6</v>
      </c>
      <c r="K5" s="90">
        <v>2</v>
      </c>
      <c r="L5" s="90" t="s">
        <v>1746</v>
      </c>
      <c r="M5" t="s">
        <v>1526</v>
      </c>
      <c r="O5" s="146">
        <f t="shared" si="0"/>
        <v>15</v>
      </c>
      <c r="P5" s="146">
        <f t="shared" si="1"/>
        <v>9</v>
      </c>
      <c r="Q5" s="146">
        <f t="shared" si="2"/>
        <v>9</v>
      </c>
      <c r="R5" s="146">
        <f t="shared" si="3"/>
        <v>18</v>
      </c>
      <c r="S5" s="146">
        <f t="shared" si="4"/>
        <v>6</v>
      </c>
      <c r="T5" s="146">
        <f t="shared" si="5"/>
        <v>9</v>
      </c>
      <c r="U5" s="146">
        <f t="shared" si="6"/>
        <v>18</v>
      </c>
      <c r="V5" s="146">
        <f t="shared" si="7"/>
        <v>6</v>
      </c>
      <c r="W5" s="90">
        <f t="shared" si="8"/>
        <v>0</v>
      </c>
      <c r="X5" s="90">
        <f t="shared" si="9"/>
        <v>2</v>
      </c>
    </row>
    <row r="6" spans="1:24">
      <c r="A6" t="s">
        <v>1856</v>
      </c>
      <c r="B6" s="147">
        <v>8</v>
      </c>
      <c r="C6" s="147">
        <v>1</v>
      </c>
      <c r="D6" s="90">
        <v>2</v>
      </c>
      <c r="E6" s="90">
        <v>7</v>
      </c>
      <c r="F6" s="90">
        <v>1</v>
      </c>
      <c r="G6" s="99">
        <v>1</v>
      </c>
      <c r="H6" s="99">
        <v>1</v>
      </c>
      <c r="I6" s="90">
        <v>2</v>
      </c>
      <c r="J6" s="90">
        <v>6</v>
      </c>
      <c r="K6" s="90">
        <v>1</v>
      </c>
      <c r="L6" s="90" t="s">
        <v>1806</v>
      </c>
      <c r="M6" t="s">
        <v>1666</v>
      </c>
      <c r="O6" s="146">
        <f t="shared" si="0"/>
        <v>21</v>
      </c>
      <c r="P6" s="146">
        <f t="shared" si="1"/>
        <v>6</v>
      </c>
      <c r="Q6" s="146">
        <f t="shared" si="2"/>
        <v>6</v>
      </c>
      <c r="R6" s="146">
        <f t="shared" si="3"/>
        <v>24</v>
      </c>
      <c r="S6" s="146">
        <f t="shared" si="4"/>
        <v>3</v>
      </c>
      <c r="T6" s="146">
        <f t="shared" si="5"/>
        <v>6</v>
      </c>
      <c r="U6" s="146">
        <f t="shared" si="6"/>
        <v>18</v>
      </c>
      <c r="V6" s="146">
        <f t="shared" si="7"/>
        <v>3</v>
      </c>
      <c r="W6" s="90">
        <f t="shared" si="8"/>
        <v>1</v>
      </c>
      <c r="X6" s="90">
        <f t="shared" si="9"/>
        <v>1</v>
      </c>
    </row>
    <row r="7" spans="1:24">
      <c r="A7" t="s">
        <v>1667</v>
      </c>
      <c r="B7" s="99">
        <v>1</v>
      </c>
      <c r="D7" s="90">
        <v>5</v>
      </c>
      <c r="E7" s="90">
        <v>0</v>
      </c>
      <c r="F7" s="90" t="s">
        <v>1668</v>
      </c>
      <c r="G7" s="147">
        <v>1</v>
      </c>
      <c r="H7" s="147">
        <v>5</v>
      </c>
      <c r="I7" s="90">
        <v>1</v>
      </c>
      <c r="J7" s="90">
        <v>6</v>
      </c>
      <c r="K7" s="90">
        <v>6</v>
      </c>
      <c r="L7" s="90" t="s">
        <v>1669</v>
      </c>
      <c r="O7" s="146">
        <f t="shared" si="0"/>
        <v>0</v>
      </c>
      <c r="P7" s="146">
        <f t="shared" si="1"/>
        <v>15</v>
      </c>
      <c r="Q7" s="146">
        <f t="shared" si="2"/>
        <v>15</v>
      </c>
      <c r="R7" s="146">
        <f t="shared" si="3"/>
        <v>3</v>
      </c>
      <c r="S7" s="146">
        <f t="shared" si="4"/>
        <v>3</v>
      </c>
      <c r="T7" s="146">
        <f t="shared" si="5"/>
        <v>3</v>
      </c>
      <c r="U7" s="146">
        <f t="shared" si="6"/>
        <v>18</v>
      </c>
      <c r="V7" s="146" t="e">
        <f t="shared" si="7"/>
        <v>#VALUE!</v>
      </c>
      <c r="W7" s="90">
        <f t="shared" si="8"/>
        <v>0</v>
      </c>
      <c r="X7" s="90">
        <f t="shared" si="9"/>
        <v>5</v>
      </c>
    </row>
    <row r="8" spans="1:24">
      <c r="A8" t="s">
        <v>1816</v>
      </c>
      <c r="B8" s="147">
        <v>10</v>
      </c>
      <c r="C8" s="147">
        <v>2</v>
      </c>
      <c r="D8" s="90">
        <v>4</v>
      </c>
      <c r="E8" s="90">
        <v>12</v>
      </c>
      <c r="F8" s="90" t="s">
        <v>1668</v>
      </c>
      <c r="G8" s="147">
        <v>2</v>
      </c>
      <c r="H8" s="147">
        <v>4</v>
      </c>
      <c r="I8" s="90">
        <v>6</v>
      </c>
      <c r="J8" s="90">
        <v>6</v>
      </c>
      <c r="K8" s="90">
        <v>4</v>
      </c>
      <c r="L8" s="90" t="s">
        <v>1817</v>
      </c>
      <c r="O8" s="146">
        <f t="shared" si="0"/>
        <v>36</v>
      </c>
      <c r="P8" s="146">
        <f t="shared" si="1"/>
        <v>12</v>
      </c>
      <c r="Q8" s="146">
        <f t="shared" si="2"/>
        <v>12</v>
      </c>
      <c r="R8" s="146">
        <f t="shared" si="3"/>
        <v>30</v>
      </c>
      <c r="S8" s="146">
        <f t="shared" si="4"/>
        <v>6</v>
      </c>
      <c r="T8" s="146">
        <f t="shared" si="5"/>
        <v>18</v>
      </c>
      <c r="U8" s="146">
        <f t="shared" si="6"/>
        <v>18</v>
      </c>
      <c r="V8" s="146" t="e">
        <f t="shared" si="7"/>
        <v>#VALUE!</v>
      </c>
      <c r="W8" s="90">
        <f t="shared" si="8"/>
        <v>2</v>
      </c>
      <c r="X8" s="90">
        <f t="shared" si="9"/>
        <v>4</v>
      </c>
    </row>
    <row r="9" spans="1:24">
      <c r="A9" t="s">
        <v>1818</v>
      </c>
      <c r="B9" s="147">
        <v>9</v>
      </c>
      <c r="C9" s="147">
        <v>1</v>
      </c>
      <c r="D9" s="90">
        <v>4</v>
      </c>
      <c r="E9" s="90">
        <v>9</v>
      </c>
      <c r="F9" s="90" t="s">
        <v>1668</v>
      </c>
      <c r="G9" s="147">
        <v>2</v>
      </c>
      <c r="H9" s="147">
        <v>4</v>
      </c>
      <c r="I9" s="90">
        <v>2</v>
      </c>
      <c r="J9" s="90">
        <v>6</v>
      </c>
      <c r="K9" s="90">
        <v>5</v>
      </c>
      <c r="L9" s="90" t="s">
        <v>1680</v>
      </c>
      <c r="O9" s="146">
        <f t="shared" si="0"/>
        <v>27</v>
      </c>
      <c r="P9" s="146">
        <f t="shared" si="1"/>
        <v>12</v>
      </c>
      <c r="Q9" s="146">
        <f t="shared" si="2"/>
        <v>12</v>
      </c>
      <c r="R9" s="146">
        <f t="shared" si="3"/>
        <v>27</v>
      </c>
      <c r="S9" s="146">
        <f t="shared" si="4"/>
        <v>6</v>
      </c>
      <c r="T9" s="146">
        <f t="shared" si="5"/>
        <v>6</v>
      </c>
      <c r="U9" s="146">
        <f t="shared" si="6"/>
        <v>18</v>
      </c>
      <c r="V9" s="146" t="e">
        <f t="shared" si="7"/>
        <v>#VALUE!</v>
      </c>
      <c r="W9" s="90">
        <f t="shared" si="8"/>
        <v>1</v>
      </c>
      <c r="X9" s="90">
        <f t="shared" si="9"/>
        <v>4</v>
      </c>
    </row>
    <row r="10" spans="1:24">
      <c r="A10" t="s">
        <v>2038</v>
      </c>
      <c r="B10" s="99">
        <v>1</v>
      </c>
      <c r="D10" s="90">
        <v>4</v>
      </c>
      <c r="E10" s="90">
        <v>1</v>
      </c>
      <c r="F10" s="90" t="s">
        <v>1668</v>
      </c>
      <c r="G10" s="147">
        <v>2</v>
      </c>
      <c r="H10" s="147">
        <v>4</v>
      </c>
      <c r="I10" s="90">
        <v>2</v>
      </c>
      <c r="J10" s="90">
        <v>6</v>
      </c>
      <c r="K10" s="90" t="s">
        <v>2039</v>
      </c>
      <c r="L10" s="90" t="s">
        <v>2030</v>
      </c>
      <c r="O10" s="146">
        <f t="shared" si="0"/>
        <v>3</v>
      </c>
      <c r="P10" s="146">
        <f t="shared" si="1"/>
        <v>12</v>
      </c>
      <c r="Q10" s="146">
        <f t="shared" si="2"/>
        <v>12</v>
      </c>
      <c r="R10" s="146">
        <f t="shared" si="3"/>
        <v>3</v>
      </c>
      <c r="S10" s="146">
        <f t="shared" si="4"/>
        <v>6</v>
      </c>
      <c r="T10" s="146">
        <f t="shared" si="5"/>
        <v>6</v>
      </c>
      <c r="U10" s="146">
        <f t="shared" si="6"/>
        <v>18</v>
      </c>
      <c r="V10" s="146" t="e">
        <f t="shared" si="7"/>
        <v>#VALUE!</v>
      </c>
      <c r="W10" s="90">
        <f t="shared" si="8"/>
        <v>0</v>
      </c>
      <c r="X10" s="90">
        <f t="shared" si="9"/>
        <v>4</v>
      </c>
    </row>
    <row r="11" spans="1:24">
      <c r="A11" t="s">
        <v>1173</v>
      </c>
      <c r="B11" s="99">
        <v>2</v>
      </c>
      <c r="D11" s="90">
        <v>4</v>
      </c>
      <c r="E11" s="90">
        <v>2</v>
      </c>
      <c r="F11" s="90" t="s">
        <v>1668</v>
      </c>
      <c r="G11" s="147">
        <v>2</v>
      </c>
      <c r="H11" s="147">
        <v>4</v>
      </c>
      <c r="I11" s="90">
        <v>2</v>
      </c>
      <c r="J11" s="90">
        <v>6</v>
      </c>
      <c r="K11" s="90" t="s">
        <v>2039</v>
      </c>
      <c r="L11" s="90" t="s">
        <v>1174</v>
      </c>
      <c r="O11" s="146">
        <f t="shared" si="0"/>
        <v>6</v>
      </c>
      <c r="P11" s="146">
        <f t="shared" si="1"/>
        <v>12</v>
      </c>
      <c r="Q11" s="146">
        <f t="shared" si="2"/>
        <v>12</v>
      </c>
      <c r="R11" s="146">
        <f t="shared" si="3"/>
        <v>6</v>
      </c>
      <c r="S11" s="146">
        <f t="shared" si="4"/>
        <v>6</v>
      </c>
      <c r="T11" s="146">
        <f t="shared" si="5"/>
        <v>6</v>
      </c>
      <c r="U11" s="146">
        <f t="shared" si="6"/>
        <v>18</v>
      </c>
      <c r="V11" s="146" t="e">
        <f t="shared" si="7"/>
        <v>#VALUE!</v>
      </c>
      <c r="W11" s="90">
        <f t="shared" si="8"/>
        <v>0</v>
      </c>
      <c r="X11" s="90">
        <f t="shared" si="9"/>
        <v>4</v>
      </c>
    </row>
    <row r="12" spans="1:24">
      <c r="A12" t="s">
        <v>1082</v>
      </c>
      <c r="B12" s="99">
        <v>4</v>
      </c>
      <c r="D12" s="90">
        <v>4</v>
      </c>
      <c r="E12" s="90">
        <v>4</v>
      </c>
      <c r="F12" s="90" t="s">
        <v>1668</v>
      </c>
      <c r="G12" s="147">
        <v>2</v>
      </c>
      <c r="H12" s="147">
        <v>3</v>
      </c>
      <c r="I12" s="90">
        <v>2</v>
      </c>
      <c r="J12" s="90">
        <v>6</v>
      </c>
      <c r="K12" s="90">
        <v>3</v>
      </c>
      <c r="L12" s="90" t="s">
        <v>1366</v>
      </c>
      <c r="O12" s="146">
        <f t="shared" si="0"/>
        <v>12</v>
      </c>
      <c r="P12" s="146">
        <f t="shared" si="1"/>
        <v>12</v>
      </c>
      <c r="Q12" s="146">
        <f t="shared" si="2"/>
        <v>12</v>
      </c>
      <c r="R12" s="146">
        <f t="shared" si="3"/>
        <v>12</v>
      </c>
      <c r="S12" s="146">
        <f t="shared" si="4"/>
        <v>6</v>
      </c>
      <c r="T12" s="146">
        <f t="shared" si="5"/>
        <v>6</v>
      </c>
      <c r="U12" s="146">
        <f t="shared" si="6"/>
        <v>18</v>
      </c>
      <c r="V12" s="146" t="e">
        <f t="shared" si="7"/>
        <v>#VALUE!</v>
      </c>
      <c r="W12" s="90">
        <f t="shared" si="8"/>
        <v>0</v>
      </c>
      <c r="X12" s="90">
        <f t="shared" si="9"/>
        <v>3</v>
      </c>
    </row>
    <row r="13" spans="1:24">
      <c r="A13" t="s">
        <v>1085</v>
      </c>
      <c r="B13" s="99">
        <v>3</v>
      </c>
      <c r="D13" s="90">
        <v>4</v>
      </c>
      <c r="E13" s="90">
        <v>3</v>
      </c>
      <c r="F13" s="90" t="s">
        <v>1668</v>
      </c>
      <c r="G13" s="147">
        <v>2</v>
      </c>
      <c r="H13" s="147">
        <v>4</v>
      </c>
      <c r="I13" s="90">
        <v>2</v>
      </c>
      <c r="J13" s="90">
        <v>6</v>
      </c>
      <c r="K13" s="90">
        <v>4</v>
      </c>
      <c r="L13" s="90" t="s">
        <v>1086</v>
      </c>
      <c r="O13" s="146">
        <f t="shared" si="0"/>
        <v>9</v>
      </c>
      <c r="P13" s="146">
        <f t="shared" si="1"/>
        <v>12</v>
      </c>
      <c r="Q13" s="146">
        <f t="shared" si="2"/>
        <v>12</v>
      </c>
      <c r="R13" s="146">
        <f t="shared" si="3"/>
        <v>9</v>
      </c>
      <c r="S13" s="146">
        <f t="shared" si="4"/>
        <v>6</v>
      </c>
      <c r="T13" s="146">
        <f t="shared" si="5"/>
        <v>6</v>
      </c>
      <c r="U13" s="146">
        <f t="shared" si="6"/>
        <v>18</v>
      </c>
      <c r="V13" s="146" t="e">
        <f t="shared" si="7"/>
        <v>#VALUE!</v>
      </c>
      <c r="W13" s="90">
        <f t="shared" si="8"/>
        <v>0</v>
      </c>
      <c r="X13" s="90">
        <f t="shared" si="9"/>
        <v>4</v>
      </c>
    </row>
    <row r="14" spans="1:24">
      <c r="A14" t="s">
        <v>1305</v>
      </c>
      <c r="B14" s="99">
        <v>1</v>
      </c>
      <c r="D14" s="90">
        <v>4</v>
      </c>
      <c r="E14" s="90">
        <v>1</v>
      </c>
      <c r="F14" s="90" t="s">
        <v>1668</v>
      </c>
      <c r="G14" s="147">
        <v>2</v>
      </c>
      <c r="H14" s="147">
        <v>4</v>
      </c>
      <c r="I14" s="90">
        <v>2</v>
      </c>
      <c r="J14" s="90">
        <v>6</v>
      </c>
      <c r="K14" s="90">
        <v>4</v>
      </c>
      <c r="L14" s="90" t="s">
        <v>2030</v>
      </c>
      <c r="O14" s="146">
        <f t="shared" si="0"/>
        <v>3</v>
      </c>
      <c r="P14" s="146">
        <f t="shared" si="1"/>
        <v>12</v>
      </c>
      <c r="Q14" s="146">
        <f t="shared" si="2"/>
        <v>12</v>
      </c>
      <c r="R14" s="146">
        <f t="shared" si="3"/>
        <v>3</v>
      </c>
      <c r="S14" s="146">
        <f t="shared" si="4"/>
        <v>6</v>
      </c>
      <c r="T14" s="146">
        <f t="shared" si="5"/>
        <v>6</v>
      </c>
      <c r="U14" s="146">
        <f t="shared" si="6"/>
        <v>18</v>
      </c>
      <c r="V14" s="146" t="e">
        <f t="shared" si="7"/>
        <v>#VALUE!</v>
      </c>
      <c r="W14" s="90">
        <f t="shared" si="8"/>
        <v>0</v>
      </c>
      <c r="X14" s="90">
        <f t="shared" si="9"/>
        <v>4</v>
      </c>
    </row>
    <row r="15" spans="1:24">
      <c r="A15" t="s">
        <v>1166</v>
      </c>
      <c r="B15" s="99">
        <v>15</v>
      </c>
      <c r="C15" s="99">
        <v>3</v>
      </c>
      <c r="D15" s="90">
        <v>3</v>
      </c>
      <c r="E15" s="90">
        <v>40</v>
      </c>
      <c r="F15" s="90" t="s">
        <v>1668</v>
      </c>
      <c r="G15" s="147">
        <v>3</v>
      </c>
      <c r="H15" s="147">
        <v>3</v>
      </c>
      <c r="I15" s="90">
        <v>3</v>
      </c>
      <c r="J15" s="90">
        <v>6</v>
      </c>
      <c r="K15" s="90">
        <v>3</v>
      </c>
      <c r="L15" s="90" t="s">
        <v>1287</v>
      </c>
      <c r="O15" s="146">
        <f t="shared" si="0"/>
        <v>120</v>
      </c>
      <c r="P15" s="146">
        <f t="shared" si="1"/>
        <v>9</v>
      </c>
      <c r="Q15" s="146">
        <f t="shared" si="2"/>
        <v>9</v>
      </c>
      <c r="R15" s="146">
        <f t="shared" si="3"/>
        <v>45</v>
      </c>
      <c r="S15" s="146">
        <f t="shared" si="4"/>
        <v>9</v>
      </c>
      <c r="T15" s="146">
        <f t="shared" si="5"/>
        <v>9</v>
      </c>
      <c r="U15" s="146">
        <f t="shared" si="6"/>
        <v>18</v>
      </c>
      <c r="V15" s="146" t="e">
        <f t="shared" si="7"/>
        <v>#VALUE!</v>
      </c>
      <c r="W15" s="90">
        <f t="shared" si="8"/>
        <v>3</v>
      </c>
      <c r="X15" s="90">
        <f t="shared" si="9"/>
        <v>3</v>
      </c>
    </row>
    <row r="16" spans="1:24">
      <c r="A16" t="s">
        <v>1288</v>
      </c>
      <c r="B16" s="99">
        <v>2</v>
      </c>
      <c r="D16" s="90">
        <v>4</v>
      </c>
      <c r="E16" s="90">
        <v>1</v>
      </c>
      <c r="F16" s="90" t="s">
        <v>1668</v>
      </c>
      <c r="G16" s="147">
        <v>2</v>
      </c>
      <c r="H16" s="147">
        <v>4</v>
      </c>
      <c r="I16" s="90">
        <v>2</v>
      </c>
      <c r="J16" s="90">
        <v>6</v>
      </c>
      <c r="K16" s="90" t="s">
        <v>2039</v>
      </c>
      <c r="L16" s="90" t="s">
        <v>2030</v>
      </c>
      <c r="O16" s="146">
        <f t="shared" si="0"/>
        <v>3</v>
      </c>
      <c r="P16" s="146">
        <f t="shared" si="1"/>
        <v>12</v>
      </c>
      <c r="Q16" s="146">
        <f t="shared" si="2"/>
        <v>12</v>
      </c>
      <c r="R16" s="146">
        <f t="shared" si="3"/>
        <v>6</v>
      </c>
      <c r="S16" s="146">
        <f t="shared" si="4"/>
        <v>6</v>
      </c>
      <c r="T16" s="146">
        <f t="shared" si="5"/>
        <v>6</v>
      </c>
      <c r="U16" s="146">
        <f t="shared" si="6"/>
        <v>18</v>
      </c>
      <c r="V16" s="146" t="e">
        <f t="shared" si="7"/>
        <v>#VALUE!</v>
      </c>
      <c r="W16" s="90">
        <f t="shared" si="8"/>
        <v>0</v>
      </c>
      <c r="X16" s="90">
        <f t="shared" si="9"/>
        <v>4</v>
      </c>
    </row>
    <row r="17" spans="1:24">
      <c r="A17" t="s">
        <v>1289</v>
      </c>
      <c r="B17" s="99">
        <v>2</v>
      </c>
      <c r="D17" s="90">
        <v>4</v>
      </c>
      <c r="E17" s="90">
        <v>2</v>
      </c>
      <c r="F17" s="90" t="s">
        <v>1668</v>
      </c>
      <c r="G17" s="147">
        <v>2</v>
      </c>
      <c r="H17" s="147">
        <v>3</v>
      </c>
      <c r="I17" s="90">
        <v>2</v>
      </c>
      <c r="J17" s="90">
        <v>6</v>
      </c>
      <c r="K17" s="90">
        <v>3</v>
      </c>
      <c r="L17" s="90" t="s">
        <v>1290</v>
      </c>
      <c r="O17" s="146">
        <f t="shared" si="0"/>
        <v>6</v>
      </c>
      <c r="P17" s="146">
        <f t="shared" si="1"/>
        <v>12</v>
      </c>
      <c r="Q17" s="146">
        <f t="shared" si="2"/>
        <v>12</v>
      </c>
      <c r="R17" s="146">
        <f t="shared" si="3"/>
        <v>6</v>
      </c>
      <c r="S17" s="146">
        <f t="shared" si="4"/>
        <v>6</v>
      </c>
      <c r="T17" s="146">
        <f t="shared" si="5"/>
        <v>6</v>
      </c>
      <c r="U17" s="146">
        <f t="shared" si="6"/>
        <v>18</v>
      </c>
      <c r="V17" s="146" t="e">
        <f t="shared" si="7"/>
        <v>#VALUE!</v>
      </c>
      <c r="W17" s="90">
        <f t="shared" si="8"/>
        <v>0</v>
      </c>
      <c r="X17" s="90">
        <f t="shared" si="9"/>
        <v>3</v>
      </c>
    </row>
    <row r="18" spans="1:24">
      <c r="A18" t="s">
        <v>1291</v>
      </c>
      <c r="B18" s="99">
        <v>10</v>
      </c>
      <c r="D18" s="90">
        <v>4</v>
      </c>
      <c r="E18" s="90">
        <v>8</v>
      </c>
      <c r="F18" s="90" t="s">
        <v>1668</v>
      </c>
      <c r="G18" s="147">
        <v>2</v>
      </c>
      <c r="H18" s="147">
        <v>3</v>
      </c>
      <c r="I18" s="90">
        <v>2</v>
      </c>
      <c r="J18" s="90">
        <v>6</v>
      </c>
      <c r="K18" s="90">
        <v>3</v>
      </c>
      <c r="L18" s="90" t="s">
        <v>1680</v>
      </c>
      <c r="O18" s="146">
        <f t="shared" si="0"/>
        <v>24</v>
      </c>
      <c r="P18" s="146">
        <f t="shared" si="1"/>
        <v>12</v>
      </c>
      <c r="Q18" s="146">
        <f t="shared" si="2"/>
        <v>12</v>
      </c>
      <c r="R18" s="146">
        <f t="shared" si="3"/>
        <v>30</v>
      </c>
      <c r="S18" s="146">
        <f t="shared" si="4"/>
        <v>6</v>
      </c>
      <c r="T18" s="146">
        <f t="shared" si="5"/>
        <v>6</v>
      </c>
      <c r="U18" s="146">
        <f t="shared" si="6"/>
        <v>18</v>
      </c>
      <c r="V18" s="146" t="e">
        <f t="shared" si="7"/>
        <v>#VALUE!</v>
      </c>
      <c r="W18" s="90">
        <f t="shared" si="8"/>
        <v>0</v>
      </c>
      <c r="X18" s="90">
        <f t="shared" si="9"/>
        <v>3</v>
      </c>
    </row>
    <row r="19" spans="1:24">
      <c r="A19" t="s">
        <v>1030</v>
      </c>
      <c r="B19" s="99">
        <v>5</v>
      </c>
      <c r="D19" s="90">
        <v>5</v>
      </c>
      <c r="E19" s="90">
        <v>5</v>
      </c>
      <c r="F19" s="90" t="s">
        <v>1668</v>
      </c>
      <c r="G19" s="147">
        <v>2</v>
      </c>
      <c r="H19" s="147">
        <v>4</v>
      </c>
      <c r="I19" s="90">
        <v>2</v>
      </c>
      <c r="J19" s="90">
        <v>6</v>
      </c>
      <c r="K19" s="90" t="s">
        <v>1031</v>
      </c>
      <c r="L19" s="90" t="s">
        <v>1032</v>
      </c>
      <c r="O19" s="146">
        <f t="shared" si="0"/>
        <v>15</v>
      </c>
      <c r="P19" s="146">
        <f t="shared" si="1"/>
        <v>15</v>
      </c>
      <c r="Q19" s="146">
        <f t="shared" si="2"/>
        <v>15</v>
      </c>
      <c r="R19" s="146">
        <f t="shared" si="3"/>
        <v>15</v>
      </c>
      <c r="S19" s="146">
        <f t="shared" si="4"/>
        <v>6</v>
      </c>
      <c r="T19" s="146">
        <f t="shared" si="5"/>
        <v>6</v>
      </c>
      <c r="U19" s="146">
        <f t="shared" si="6"/>
        <v>18</v>
      </c>
      <c r="V19" s="146" t="e">
        <f t="shared" si="7"/>
        <v>#VALUE!</v>
      </c>
      <c r="W19" s="90">
        <f t="shared" si="8"/>
        <v>0</v>
      </c>
      <c r="X19" s="90">
        <f t="shared" si="9"/>
        <v>4</v>
      </c>
    </row>
    <row r="20" spans="1:24">
      <c r="A20" t="s">
        <v>1033</v>
      </c>
      <c r="B20" s="99">
        <v>1</v>
      </c>
      <c r="D20" s="90">
        <v>5</v>
      </c>
      <c r="E20" s="90">
        <v>0</v>
      </c>
      <c r="F20" s="90" t="s">
        <v>1668</v>
      </c>
      <c r="G20" s="147">
        <v>2</v>
      </c>
      <c r="H20" s="147">
        <v>4</v>
      </c>
      <c r="I20" s="90">
        <v>1</v>
      </c>
      <c r="J20" s="90">
        <v>6</v>
      </c>
      <c r="K20" s="90">
        <v>5</v>
      </c>
      <c r="L20" s="90" t="s">
        <v>1034</v>
      </c>
      <c r="O20" s="146">
        <f t="shared" si="0"/>
        <v>0</v>
      </c>
      <c r="P20" s="146">
        <f t="shared" si="1"/>
        <v>15</v>
      </c>
      <c r="Q20" s="146">
        <f t="shared" si="2"/>
        <v>15</v>
      </c>
      <c r="R20" s="146">
        <f t="shared" si="3"/>
        <v>3</v>
      </c>
      <c r="S20" s="146">
        <f t="shared" si="4"/>
        <v>6</v>
      </c>
      <c r="T20" s="146">
        <f t="shared" si="5"/>
        <v>3</v>
      </c>
      <c r="U20" s="146">
        <f t="shared" si="6"/>
        <v>18</v>
      </c>
      <c r="V20" s="146" t="e">
        <f t="shared" si="7"/>
        <v>#VALUE!</v>
      </c>
      <c r="W20" s="90">
        <f t="shared" si="8"/>
        <v>0</v>
      </c>
      <c r="X20" s="90">
        <f t="shared" si="9"/>
        <v>4</v>
      </c>
    </row>
    <row r="21" spans="1:24">
      <c r="A21" t="s">
        <v>1035</v>
      </c>
      <c r="B21" s="147">
        <v>12</v>
      </c>
      <c r="C21" s="147">
        <v>2</v>
      </c>
      <c r="D21" s="90">
        <v>4</v>
      </c>
      <c r="E21" s="90">
        <v>25</v>
      </c>
      <c r="F21" s="90" t="s">
        <v>1668</v>
      </c>
      <c r="G21" s="147">
        <v>2</v>
      </c>
      <c r="H21" s="147">
        <v>2</v>
      </c>
      <c r="I21" s="90">
        <v>2</v>
      </c>
      <c r="J21" s="90">
        <v>6</v>
      </c>
      <c r="K21" s="90">
        <v>3</v>
      </c>
      <c r="L21" s="90" t="s">
        <v>1036</v>
      </c>
      <c r="O21" s="146">
        <f t="shared" si="0"/>
        <v>75</v>
      </c>
      <c r="P21" s="146">
        <f t="shared" si="1"/>
        <v>12</v>
      </c>
      <c r="Q21" s="146">
        <f t="shared" si="2"/>
        <v>12</v>
      </c>
      <c r="R21" s="146">
        <f t="shared" si="3"/>
        <v>36</v>
      </c>
      <c r="S21" s="146">
        <f t="shared" si="4"/>
        <v>6</v>
      </c>
      <c r="T21" s="146">
        <f t="shared" si="5"/>
        <v>6</v>
      </c>
      <c r="U21" s="146">
        <f t="shared" si="6"/>
        <v>18</v>
      </c>
      <c r="V21" s="146" t="e">
        <f t="shared" si="7"/>
        <v>#VALUE!</v>
      </c>
      <c r="W21" s="90">
        <f t="shared" si="8"/>
        <v>2</v>
      </c>
      <c r="X21" s="90">
        <f t="shared" si="9"/>
        <v>2</v>
      </c>
    </row>
    <row r="22" spans="1:24">
      <c r="A22" t="s">
        <v>1037</v>
      </c>
      <c r="B22" s="99">
        <v>6</v>
      </c>
      <c r="D22" s="90">
        <v>5</v>
      </c>
      <c r="E22" s="90">
        <v>4</v>
      </c>
      <c r="F22" s="90" t="s">
        <v>1668</v>
      </c>
      <c r="G22" s="147">
        <v>3</v>
      </c>
      <c r="H22" s="147">
        <v>4</v>
      </c>
      <c r="I22" s="90">
        <v>2</v>
      </c>
      <c r="J22" s="90">
        <v>6</v>
      </c>
      <c r="K22" s="90">
        <v>4</v>
      </c>
      <c r="L22" s="90" t="s">
        <v>1038</v>
      </c>
      <c r="M22" t="s">
        <v>1269</v>
      </c>
      <c r="O22" s="146">
        <f t="shared" si="0"/>
        <v>12</v>
      </c>
      <c r="P22" s="146">
        <f t="shared" si="1"/>
        <v>15</v>
      </c>
      <c r="Q22" s="146">
        <f t="shared" si="2"/>
        <v>15</v>
      </c>
      <c r="R22" s="146">
        <f t="shared" si="3"/>
        <v>18</v>
      </c>
      <c r="S22" s="146">
        <f t="shared" si="4"/>
        <v>9</v>
      </c>
      <c r="T22" s="146">
        <f t="shared" si="5"/>
        <v>6</v>
      </c>
      <c r="U22" s="146">
        <f t="shared" si="6"/>
        <v>18</v>
      </c>
      <c r="V22" s="146" t="e">
        <f t="shared" si="7"/>
        <v>#VALUE!</v>
      </c>
      <c r="W22" s="90">
        <f t="shared" si="8"/>
        <v>0</v>
      </c>
      <c r="X22" s="90">
        <f t="shared" si="9"/>
        <v>4</v>
      </c>
    </row>
    <row r="23" spans="1:24">
      <c r="A23" t="s">
        <v>1270</v>
      </c>
      <c r="B23" s="147">
        <v>10</v>
      </c>
      <c r="C23" s="147">
        <v>2</v>
      </c>
      <c r="D23" s="90">
        <v>5</v>
      </c>
      <c r="E23" s="90">
        <v>10</v>
      </c>
      <c r="F23" s="90" t="s">
        <v>1668</v>
      </c>
      <c r="G23" s="147">
        <v>1</v>
      </c>
      <c r="H23" s="147">
        <v>3</v>
      </c>
      <c r="I23" s="90">
        <v>2</v>
      </c>
      <c r="J23" s="90">
        <v>6</v>
      </c>
      <c r="K23" s="90" t="s">
        <v>2039</v>
      </c>
      <c r="L23" s="90" t="s">
        <v>1271</v>
      </c>
      <c r="O23" s="146">
        <f t="shared" si="0"/>
        <v>30</v>
      </c>
      <c r="P23" s="146">
        <f t="shared" si="1"/>
        <v>15</v>
      </c>
      <c r="Q23" s="146">
        <f t="shared" si="2"/>
        <v>15</v>
      </c>
      <c r="R23" s="146">
        <f t="shared" si="3"/>
        <v>30</v>
      </c>
      <c r="S23" s="146">
        <f t="shared" si="4"/>
        <v>3</v>
      </c>
      <c r="T23" s="146">
        <f t="shared" si="5"/>
        <v>6</v>
      </c>
      <c r="U23" s="146">
        <f t="shared" si="6"/>
        <v>18</v>
      </c>
      <c r="V23" s="146" t="e">
        <f t="shared" si="7"/>
        <v>#VALUE!</v>
      </c>
      <c r="W23" s="90">
        <f t="shared" si="8"/>
        <v>2</v>
      </c>
      <c r="X23" s="90">
        <f t="shared" si="9"/>
        <v>3</v>
      </c>
    </row>
    <row r="24" spans="1:24">
      <c r="A24" t="s">
        <v>1272</v>
      </c>
      <c r="B24" s="147">
        <v>5</v>
      </c>
      <c r="C24" s="147">
        <v>1</v>
      </c>
      <c r="D24" s="90">
        <v>5</v>
      </c>
      <c r="E24" s="90">
        <v>4</v>
      </c>
      <c r="F24" s="90" t="s">
        <v>1668</v>
      </c>
      <c r="G24" s="147">
        <v>1</v>
      </c>
      <c r="H24" s="147">
        <v>3</v>
      </c>
      <c r="I24" s="90">
        <v>1</v>
      </c>
      <c r="J24" s="90">
        <v>6</v>
      </c>
      <c r="K24" s="90" t="s">
        <v>2039</v>
      </c>
      <c r="L24" s="90" t="s">
        <v>1273</v>
      </c>
      <c r="O24" s="146">
        <f t="shared" si="0"/>
        <v>12</v>
      </c>
      <c r="P24" s="146">
        <f t="shared" si="1"/>
        <v>15</v>
      </c>
      <c r="Q24" s="146">
        <f t="shared" si="2"/>
        <v>15</v>
      </c>
      <c r="R24" s="146">
        <f t="shared" si="3"/>
        <v>15</v>
      </c>
      <c r="S24" s="146">
        <f t="shared" si="4"/>
        <v>3</v>
      </c>
      <c r="T24" s="146">
        <f t="shared" si="5"/>
        <v>3</v>
      </c>
      <c r="U24" s="146">
        <f t="shared" si="6"/>
        <v>18</v>
      </c>
      <c r="V24" s="146" t="e">
        <f t="shared" si="7"/>
        <v>#VALUE!</v>
      </c>
      <c r="W24" s="90">
        <f t="shared" si="8"/>
        <v>1</v>
      </c>
      <c r="X24" s="90">
        <f t="shared" si="9"/>
        <v>3</v>
      </c>
    </row>
    <row r="25" spans="1:24">
      <c r="A25" t="s">
        <v>1274</v>
      </c>
      <c r="B25" s="99">
        <v>8</v>
      </c>
      <c r="D25" s="90">
        <v>6</v>
      </c>
      <c r="E25" s="90">
        <v>8</v>
      </c>
      <c r="F25" s="90" t="s">
        <v>1668</v>
      </c>
      <c r="G25" s="147">
        <v>3</v>
      </c>
      <c r="H25" s="147">
        <v>4</v>
      </c>
      <c r="I25" s="90">
        <v>2</v>
      </c>
      <c r="J25" s="90">
        <v>6</v>
      </c>
      <c r="K25" s="90" t="s">
        <v>1275</v>
      </c>
      <c r="L25" s="90" t="s">
        <v>1141</v>
      </c>
      <c r="O25" s="146">
        <f t="shared" si="0"/>
        <v>24</v>
      </c>
      <c r="P25" s="146">
        <f t="shared" si="1"/>
        <v>18</v>
      </c>
      <c r="Q25" s="146">
        <f t="shared" si="2"/>
        <v>18</v>
      </c>
      <c r="R25" s="146">
        <f t="shared" si="3"/>
        <v>24</v>
      </c>
      <c r="S25" s="146">
        <f t="shared" si="4"/>
        <v>9</v>
      </c>
      <c r="T25" s="146">
        <f t="shared" si="5"/>
        <v>6</v>
      </c>
      <c r="U25" s="146">
        <f t="shared" si="6"/>
        <v>18</v>
      </c>
      <c r="V25" s="146" t="e">
        <f t="shared" si="7"/>
        <v>#VALUE!</v>
      </c>
      <c r="W25" s="90">
        <f t="shared" si="8"/>
        <v>0</v>
      </c>
      <c r="X25" s="90">
        <f t="shared" si="9"/>
        <v>4</v>
      </c>
    </row>
    <row r="26" spans="1:24">
      <c r="A26" t="s">
        <v>1266</v>
      </c>
      <c r="B26" s="99">
        <v>5</v>
      </c>
      <c r="D26" s="90">
        <v>5</v>
      </c>
      <c r="E26" s="90">
        <v>4</v>
      </c>
      <c r="F26" s="90" t="s">
        <v>1668</v>
      </c>
      <c r="G26" s="147">
        <v>3</v>
      </c>
      <c r="H26" s="147">
        <v>4</v>
      </c>
      <c r="I26" s="90">
        <v>2</v>
      </c>
      <c r="J26" s="90">
        <v>6</v>
      </c>
      <c r="K26" s="90" t="s">
        <v>2039</v>
      </c>
      <c r="L26" s="90" t="s">
        <v>1283</v>
      </c>
      <c r="O26" s="146">
        <f t="shared" si="0"/>
        <v>12</v>
      </c>
      <c r="P26" s="146">
        <f t="shared" si="1"/>
        <v>15</v>
      </c>
      <c r="Q26" s="146">
        <f t="shared" si="2"/>
        <v>15</v>
      </c>
      <c r="R26" s="146">
        <f t="shared" si="3"/>
        <v>15</v>
      </c>
      <c r="S26" s="146">
        <f t="shared" si="4"/>
        <v>9</v>
      </c>
      <c r="T26" s="146">
        <f t="shared" si="5"/>
        <v>6</v>
      </c>
      <c r="U26" s="146">
        <f t="shared" si="6"/>
        <v>18</v>
      </c>
      <c r="V26" s="146" t="e">
        <f t="shared" si="7"/>
        <v>#VALUE!</v>
      </c>
      <c r="W26" s="90">
        <f t="shared" si="8"/>
        <v>0</v>
      </c>
      <c r="X26" s="90">
        <f t="shared" si="9"/>
        <v>4</v>
      </c>
    </row>
    <row r="27" spans="1:24">
      <c r="A27" t="s">
        <v>1137</v>
      </c>
      <c r="B27" s="99">
        <v>3</v>
      </c>
      <c r="D27" s="90">
        <v>4</v>
      </c>
      <c r="E27" s="90">
        <v>3</v>
      </c>
      <c r="F27" s="90" t="s">
        <v>1668</v>
      </c>
      <c r="G27" s="99">
        <v>3</v>
      </c>
      <c r="H27" s="99">
        <v>3</v>
      </c>
      <c r="I27" s="90">
        <v>3</v>
      </c>
      <c r="J27" s="90" t="s">
        <v>1000</v>
      </c>
      <c r="K27" s="90">
        <v>3</v>
      </c>
      <c r="L27" s="90" t="s">
        <v>1746</v>
      </c>
      <c r="M27" t="s">
        <v>1862</v>
      </c>
      <c r="O27" s="146">
        <f t="shared" si="0"/>
        <v>9</v>
      </c>
      <c r="P27" s="146">
        <f t="shared" si="1"/>
        <v>12</v>
      </c>
      <c r="Q27" s="146">
        <f t="shared" si="2"/>
        <v>12</v>
      </c>
      <c r="R27" s="146">
        <f t="shared" si="3"/>
        <v>9</v>
      </c>
      <c r="S27" s="146">
        <f t="shared" si="4"/>
        <v>9</v>
      </c>
      <c r="T27" s="146">
        <f t="shared" si="5"/>
        <v>9</v>
      </c>
      <c r="U27" s="146" t="e">
        <f t="shared" si="6"/>
        <v>#VALUE!</v>
      </c>
      <c r="V27" s="146" t="e">
        <f t="shared" si="7"/>
        <v>#VALUE!</v>
      </c>
      <c r="W27" s="90">
        <f t="shared" si="8"/>
        <v>0</v>
      </c>
      <c r="X27" s="90">
        <f t="shared" si="9"/>
        <v>3</v>
      </c>
    </row>
    <row r="28" spans="1:24">
      <c r="A28" t="s">
        <v>2053</v>
      </c>
      <c r="B28" s="99">
        <v>7</v>
      </c>
      <c r="D28" s="90">
        <v>6</v>
      </c>
      <c r="E28" s="90">
        <v>5</v>
      </c>
      <c r="F28" s="90" t="s">
        <v>1668</v>
      </c>
      <c r="G28" s="147">
        <v>3</v>
      </c>
      <c r="H28" s="147">
        <v>6</v>
      </c>
      <c r="I28" s="90">
        <v>3</v>
      </c>
      <c r="J28" s="90">
        <v>-6</v>
      </c>
      <c r="K28" s="90" t="s">
        <v>2054</v>
      </c>
      <c r="L28" s="90" t="s">
        <v>1032</v>
      </c>
      <c r="M28" t="s">
        <v>1268</v>
      </c>
      <c r="O28" s="146">
        <f t="shared" si="0"/>
        <v>15</v>
      </c>
      <c r="P28" s="146">
        <f t="shared" si="1"/>
        <v>18</v>
      </c>
      <c r="Q28" s="146">
        <f t="shared" si="2"/>
        <v>18</v>
      </c>
      <c r="R28" s="146">
        <f t="shared" si="3"/>
        <v>21</v>
      </c>
      <c r="S28" s="146">
        <f t="shared" si="4"/>
        <v>9</v>
      </c>
      <c r="T28" s="146">
        <f t="shared" si="5"/>
        <v>9</v>
      </c>
      <c r="U28" s="146">
        <f t="shared" si="6"/>
        <v>-18</v>
      </c>
      <c r="V28" s="146" t="e">
        <f t="shared" si="7"/>
        <v>#VALUE!</v>
      </c>
      <c r="W28" s="90">
        <f t="shared" si="8"/>
        <v>0</v>
      </c>
      <c r="X28" s="90">
        <f t="shared" si="9"/>
        <v>6</v>
      </c>
    </row>
    <row r="29" spans="1:24">
      <c r="A29" t="s">
        <v>1831</v>
      </c>
      <c r="B29" s="147">
        <v>4</v>
      </c>
      <c r="C29" s="147">
        <v>2</v>
      </c>
      <c r="D29" s="90">
        <v>2</v>
      </c>
      <c r="E29" s="90">
        <v>7</v>
      </c>
      <c r="F29" s="90" t="s">
        <v>1668</v>
      </c>
      <c r="G29" s="147">
        <v>1</v>
      </c>
      <c r="H29" s="147">
        <v>3</v>
      </c>
      <c r="I29" s="90">
        <v>2</v>
      </c>
      <c r="J29" s="90">
        <v>-6</v>
      </c>
      <c r="K29" s="90">
        <v>2</v>
      </c>
      <c r="L29" s="90" t="s">
        <v>1832</v>
      </c>
      <c r="M29" t="s">
        <v>1695</v>
      </c>
      <c r="O29" s="146">
        <f t="shared" si="0"/>
        <v>21</v>
      </c>
      <c r="P29" s="146">
        <f t="shared" si="1"/>
        <v>6</v>
      </c>
      <c r="Q29" s="146">
        <f t="shared" si="2"/>
        <v>6</v>
      </c>
      <c r="R29" s="146">
        <f t="shared" si="3"/>
        <v>12</v>
      </c>
      <c r="S29" s="146">
        <f t="shared" si="4"/>
        <v>3</v>
      </c>
      <c r="T29" s="146">
        <f t="shared" si="5"/>
        <v>6</v>
      </c>
      <c r="U29" s="146">
        <f t="shared" si="6"/>
        <v>-18</v>
      </c>
      <c r="V29" s="146" t="e">
        <f t="shared" si="7"/>
        <v>#VALUE!</v>
      </c>
      <c r="W29" s="90">
        <f t="shared" si="8"/>
        <v>2</v>
      </c>
      <c r="X29" s="90">
        <f t="shared" si="9"/>
        <v>3</v>
      </c>
    </row>
    <row r="30" spans="1:24">
      <c r="A30" t="s">
        <v>1083</v>
      </c>
      <c r="B30" s="99">
        <v>3</v>
      </c>
      <c r="D30" s="90">
        <v>5</v>
      </c>
      <c r="E30" s="90">
        <v>4</v>
      </c>
      <c r="F30" s="90" t="s">
        <v>1668</v>
      </c>
      <c r="G30" s="147">
        <v>2</v>
      </c>
      <c r="H30" s="147">
        <v>3</v>
      </c>
      <c r="I30" s="90">
        <v>2</v>
      </c>
      <c r="J30" s="90">
        <v>-6</v>
      </c>
      <c r="K30" s="90">
        <v>4</v>
      </c>
      <c r="L30" s="90" t="s">
        <v>1084</v>
      </c>
      <c r="M30" t="s">
        <v>1425</v>
      </c>
      <c r="O30" s="146">
        <f t="shared" si="0"/>
        <v>12</v>
      </c>
      <c r="P30" s="146">
        <f t="shared" si="1"/>
        <v>15</v>
      </c>
      <c r="Q30" s="146">
        <f t="shared" si="2"/>
        <v>15</v>
      </c>
      <c r="R30" s="146">
        <f t="shared" si="3"/>
        <v>9</v>
      </c>
      <c r="S30" s="146">
        <f t="shared" si="4"/>
        <v>6</v>
      </c>
      <c r="T30" s="146">
        <f t="shared" si="5"/>
        <v>6</v>
      </c>
      <c r="U30" s="146">
        <f t="shared" si="6"/>
        <v>-18</v>
      </c>
      <c r="V30" s="146" t="e">
        <f t="shared" si="7"/>
        <v>#VALUE!</v>
      </c>
      <c r="W30" s="90">
        <f t="shared" si="8"/>
        <v>0</v>
      </c>
      <c r="X30" s="90">
        <f t="shared" si="9"/>
        <v>3</v>
      </c>
    </row>
    <row r="31" spans="1:24">
      <c r="A31" t="s">
        <v>1589</v>
      </c>
      <c r="B31" s="147">
        <v>12</v>
      </c>
      <c r="C31" s="147">
        <v>8</v>
      </c>
      <c r="D31" s="90">
        <v>6</v>
      </c>
      <c r="E31" s="90">
        <v>30</v>
      </c>
      <c r="F31" s="90">
        <v>4</v>
      </c>
      <c r="G31" s="99">
        <v>4</v>
      </c>
      <c r="H31" s="99">
        <v>4</v>
      </c>
      <c r="I31" s="90">
        <v>8</v>
      </c>
      <c r="J31" s="90" t="s">
        <v>1000</v>
      </c>
      <c r="K31" s="90" t="s">
        <v>1587</v>
      </c>
      <c r="L31" s="90" t="s">
        <v>1588</v>
      </c>
      <c r="M31" t="s">
        <v>1606</v>
      </c>
      <c r="O31" s="146">
        <f t="shared" si="0"/>
        <v>90</v>
      </c>
      <c r="P31" s="146">
        <f t="shared" si="1"/>
        <v>18</v>
      </c>
      <c r="Q31" s="146">
        <f t="shared" si="2"/>
        <v>18</v>
      </c>
      <c r="R31" s="146">
        <f t="shared" si="3"/>
        <v>36</v>
      </c>
      <c r="S31" s="146">
        <f t="shared" si="4"/>
        <v>12</v>
      </c>
      <c r="T31" s="146">
        <f t="shared" si="5"/>
        <v>24</v>
      </c>
      <c r="U31" s="146" t="e">
        <f t="shared" si="6"/>
        <v>#VALUE!</v>
      </c>
      <c r="V31" s="146">
        <f t="shared" si="7"/>
        <v>12</v>
      </c>
      <c r="W31" s="90">
        <f t="shared" si="8"/>
        <v>8</v>
      </c>
      <c r="X31" s="90">
        <f t="shared" si="9"/>
        <v>4</v>
      </c>
    </row>
    <row r="32" spans="1:24">
      <c r="A32" t="s">
        <v>1711</v>
      </c>
      <c r="B32" s="99">
        <v>14</v>
      </c>
      <c r="C32" s="99">
        <v>8</v>
      </c>
      <c r="D32" s="90">
        <v>8</v>
      </c>
      <c r="E32" s="90">
        <v>35</v>
      </c>
      <c r="F32" s="90">
        <v>5</v>
      </c>
      <c r="G32" s="99">
        <v>4</v>
      </c>
      <c r="H32" s="99">
        <v>4</v>
      </c>
      <c r="I32" s="90">
        <v>8</v>
      </c>
      <c r="J32" s="90" t="s">
        <v>1000</v>
      </c>
      <c r="K32" s="90" t="s">
        <v>2054</v>
      </c>
      <c r="L32" s="90" t="s">
        <v>1142</v>
      </c>
      <c r="M32" t="s">
        <v>1388</v>
      </c>
      <c r="O32" s="146">
        <f t="shared" si="0"/>
        <v>105</v>
      </c>
      <c r="P32" s="146">
        <f t="shared" si="1"/>
        <v>24</v>
      </c>
      <c r="Q32" s="146">
        <f t="shared" si="2"/>
        <v>24</v>
      </c>
      <c r="R32" s="146">
        <f t="shared" si="3"/>
        <v>42</v>
      </c>
      <c r="S32" s="146">
        <f t="shared" si="4"/>
        <v>12</v>
      </c>
      <c r="T32" s="146">
        <f t="shared" si="5"/>
        <v>24</v>
      </c>
      <c r="U32" s="146" t="e">
        <f t="shared" si="6"/>
        <v>#VALUE!</v>
      </c>
      <c r="V32" s="146">
        <f t="shared" si="7"/>
        <v>15</v>
      </c>
      <c r="W32" s="90">
        <f t="shared" si="8"/>
        <v>8</v>
      </c>
      <c r="X32" s="90">
        <f t="shared" si="9"/>
        <v>4</v>
      </c>
    </row>
    <row r="33" spans="1:24">
      <c r="A33" t="s">
        <v>2263</v>
      </c>
      <c r="B33" s="99">
        <v>15</v>
      </c>
      <c r="C33" s="99">
        <v>8</v>
      </c>
      <c r="D33" s="90">
        <v>7</v>
      </c>
      <c r="E33" s="90">
        <v>40</v>
      </c>
      <c r="F33" s="90">
        <v>4</v>
      </c>
      <c r="G33" s="99">
        <v>4</v>
      </c>
      <c r="H33" s="99">
        <v>4</v>
      </c>
      <c r="I33" s="90">
        <v>8</v>
      </c>
      <c r="J33" s="90" t="s">
        <v>1000</v>
      </c>
      <c r="K33" s="90" t="s">
        <v>2039</v>
      </c>
      <c r="L33" s="90" t="s">
        <v>1142</v>
      </c>
      <c r="M33" t="s">
        <v>1388</v>
      </c>
      <c r="O33" s="146">
        <f t="shared" si="0"/>
        <v>120</v>
      </c>
      <c r="P33" s="146">
        <f t="shared" si="1"/>
        <v>21</v>
      </c>
      <c r="Q33" s="146">
        <f t="shared" si="2"/>
        <v>21</v>
      </c>
      <c r="R33" s="146">
        <f t="shared" si="3"/>
        <v>45</v>
      </c>
      <c r="S33" s="146">
        <f t="shared" si="4"/>
        <v>12</v>
      </c>
      <c r="T33" s="146">
        <f t="shared" si="5"/>
        <v>24</v>
      </c>
      <c r="U33" s="146" t="e">
        <f t="shared" si="6"/>
        <v>#VALUE!</v>
      </c>
      <c r="V33" s="146">
        <f t="shared" si="7"/>
        <v>12</v>
      </c>
      <c r="W33" s="90">
        <f t="shared" si="8"/>
        <v>8</v>
      </c>
      <c r="X33" s="90">
        <f t="shared" si="9"/>
        <v>4</v>
      </c>
    </row>
    <row r="34" spans="1:24">
      <c r="A34" t="s">
        <v>2264</v>
      </c>
      <c r="B34" s="147">
        <v>10</v>
      </c>
      <c r="C34" s="147">
        <v>12</v>
      </c>
      <c r="D34" s="90">
        <v>3</v>
      </c>
      <c r="E34" s="90">
        <v>10</v>
      </c>
      <c r="F34" s="90">
        <v>5</v>
      </c>
      <c r="G34" s="99">
        <v>5</v>
      </c>
      <c r="H34" s="99">
        <v>5</v>
      </c>
      <c r="I34" s="90">
        <v>5</v>
      </c>
      <c r="J34" s="90">
        <v>12</v>
      </c>
      <c r="K34" s="90" t="s">
        <v>2409</v>
      </c>
      <c r="L34" s="90" t="s">
        <v>1298</v>
      </c>
      <c r="M34" t="s">
        <v>1388</v>
      </c>
      <c r="O34" s="146">
        <f t="shared" si="0"/>
        <v>30</v>
      </c>
      <c r="P34" s="146">
        <f t="shared" si="1"/>
        <v>9</v>
      </c>
      <c r="Q34" s="146">
        <f t="shared" si="2"/>
        <v>9</v>
      </c>
      <c r="R34" s="146">
        <f t="shared" si="3"/>
        <v>30</v>
      </c>
      <c r="S34" s="146">
        <f t="shared" si="4"/>
        <v>15</v>
      </c>
      <c r="T34" s="146">
        <f t="shared" si="5"/>
        <v>15</v>
      </c>
      <c r="U34" s="146">
        <f t="shared" si="6"/>
        <v>36</v>
      </c>
      <c r="V34" s="146">
        <f t="shared" si="7"/>
        <v>15</v>
      </c>
      <c r="W34" s="90">
        <f t="shared" si="8"/>
        <v>12</v>
      </c>
      <c r="X34" s="90">
        <f t="shared" si="9"/>
        <v>5</v>
      </c>
    </row>
    <row r="35" spans="1:24">
      <c r="A35" t="s">
        <v>1285</v>
      </c>
      <c r="B35" s="99" t="s">
        <v>1300</v>
      </c>
      <c r="D35" s="90" t="s">
        <v>2085</v>
      </c>
      <c r="E35" s="90" t="s">
        <v>1301</v>
      </c>
      <c r="F35" s="90" t="s">
        <v>1302</v>
      </c>
      <c r="G35" s="99" t="s">
        <v>1302</v>
      </c>
      <c r="H35" s="99" t="s">
        <v>1302</v>
      </c>
      <c r="I35" s="90" t="s">
        <v>1302</v>
      </c>
      <c r="J35" s="90" t="s">
        <v>1303</v>
      </c>
      <c r="K35" s="90" t="s">
        <v>1221</v>
      </c>
      <c r="L35" s="90" t="s">
        <v>1175</v>
      </c>
      <c r="M35" t="s">
        <v>2366</v>
      </c>
      <c r="O35" s="146" t="e">
        <f t="shared" si="0"/>
        <v>#VALUE!</v>
      </c>
      <c r="P35" s="146" t="e">
        <f t="shared" si="1"/>
        <v>#VALUE!</v>
      </c>
      <c r="Q35" s="146" t="e">
        <f t="shared" si="2"/>
        <v>#VALUE!</v>
      </c>
      <c r="R35" s="146" t="e">
        <f t="shared" si="3"/>
        <v>#VALUE!</v>
      </c>
      <c r="S35" s="146" t="e">
        <f t="shared" si="4"/>
        <v>#VALUE!</v>
      </c>
      <c r="T35" s="146" t="e">
        <f t="shared" si="5"/>
        <v>#VALUE!</v>
      </c>
      <c r="U35" s="146" t="e">
        <f t="shared" si="6"/>
        <v>#VALUE!</v>
      </c>
      <c r="V35" s="146" t="e">
        <f t="shared" si="7"/>
        <v>#VALUE!</v>
      </c>
      <c r="W35" s="90">
        <f t="shared" si="8"/>
        <v>0</v>
      </c>
      <c r="X35" s="90" t="str">
        <f t="shared" si="9"/>
        <v>F</v>
      </c>
    </row>
    <row r="36" spans="1:24">
      <c r="A36" t="s">
        <v>2072</v>
      </c>
      <c r="B36" s="99" t="s">
        <v>2128</v>
      </c>
      <c r="D36" s="90" t="s">
        <v>2086</v>
      </c>
      <c r="E36" s="90" t="s">
        <v>2128</v>
      </c>
      <c r="F36" s="90" t="s">
        <v>1302</v>
      </c>
      <c r="G36" s="99" t="s">
        <v>1302</v>
      </c>
      <c r="H36" s="99" t="s">
        <v>1302</v>
      </c>
      <c r="I36" s="90" t="s">
        <v>1302</v>
      </c>
      <c r="J36" s="90" t="s">
        <v>1303</v>
      </c>
      <c r="K36" s="90" t="s">
        <v>1300</v>
      </c>
      <c r="L36" s="90" t="s">
        <v>1175</v>
      </c>
      <c r="M36" t="s">
        <v>1468</v>
      </c>
      <c r="O36" s="146" t="e">
        <f t="shared" si="0"/>
        <v>#VALUE!</v>
      </c>
      <c r="P36" s="146" t="e">
        <f t="shared" si="1"/>
        <v>#VALUE!</v>
      </c>
      <c r="Q36" s="146" t="e">
        <f t="shared" si="2"/>
        <v>#VALUE!</v>
      </c>
      <c r="R36" s="146" t="e">
        <f t="shared" si="3"/>
        <v>#VALUE!</v>
      </c>
      <c r="S36" s="146" t="e">
        <f t="shared" si="4"/>
        <v>#VALUE!</v>
      </c>
      <c r="T36" s="146" t="e">
        <f t="shared" si="5"/>
        <v>#VALUE!</v>
      </c>
      <c r="U36" s="146" t="e">
        <f t="shared" si="6"/>
        <v>#VALUE!</v>
      </c>
      <c r="V36" s="146" t="e">
        <f t="shared" si="7"/>
        <v>#VALUE!</v>
      </c>
      <c r="W36" s="90">
        <f t="shared" si="8"/>
        <v>0</v>
      </c>
      <c r="X36" s="90" t="str">
        <f t="shared" si="9"/>
        <v>F</v>
      </c>
    </row>
    <row r="37" spans="1:24">
      <c r="A37" t="s">
        <v>1877</v>
      </c>
      <c r="B37" s="99" t="s">
        <v>1878</v>
      </c>
      <c r="D37" s="90" t="s">
        <v>2087</v>
      </c>
      <c r="E37" s="90" t="s">
        <v>1300</v>
      </c>
      <c r="F37" s="90" t="s">
        <v>1302</v>
      </c>
      <c r="G37" s="99" t="s">
        <v>1302</v>
      </c>
      <c r="H37" s="99" t="s">
        <v>1302</v>
      </c>
      <c r="I37" s="90" t="s">
        <v>1302</v>
      </c>
      <c r="J37" s="90" t="s">
        <v>1303</v>
      </c>
      <c r="K37" s="90" t="s">
        <v>1878</v>
      </c>
      <c r="L37" s="90" t="s">
        <v>1175</v>
      </c>
      <c r="M37" t="s">
        <v>1908</v>
      </c>
      <c r="O37" s="146" t="e">
        <f t="shared" si="0"/>
        <v>#VALUE!</v>
      </c>
      <c r="P37" s="146" t="e">
        <f t="shared" si="1"/>
        <v>#VALUE!</v>
      </c>
      <c r="Q37" s="146" t="e">
        <f t="shared" si="2"/>
        <v>#VALUE!</v>
      </c>
      <c r="R37" s="146" t="e">
        <f t="shared" si="3"/>
        <v>#VALUE!</v>
      </c>
      <c r="S37" s="146" t="e">
        <f t="shared" si="4"/>
        <v>#VALUE!</v>
      </c>
      <c r="T37" s="146" t="e">
        <f t="shared" si="5"/>
        <v>#VALUE!</v>
      </c>
      <c r="U37" s="146" t="e">
        <f t="shared" si="6"/>
        <v>#VALUE!</v>
      </c>
      <c r="V37" s="146" t="e">
        <f t="shared" si="7"/>
        <v>#VALUE!</v>
      </c>
      <c r="W37" s="90">
        <f t="shared" si="8"/>
        <v>0</v>
      </c>
      <c r="X37" s="90" t="str">
        <f t="shared" si="9"/>
        <v>F</v>
      </c>
    </row>
    <row r="38" spans="1:24">
      <c r="A38" t="s">
        <v>1754</v>
      </c>
      <c r="B38" s="99" t="s">
        <v>1221</v>
      </c>
      <c r="D38" s="90" t="s">
        <v>1302</v>
      </c>
      <c r="E38" s="90" t="s">
        <v>1302</v>
      </c>
      <c r="F38" s="90" t="s">
        <v>1302</v>
      </c>
      <c r="G38" s="99" t="s">
        <v>1302</v>
      </c>
      <c r="H38" s="99" t="s">
        <v>1302</v>
      </c>
      <c r="I38" s="90" t="s">
        <v>1302</v>
      </c>
      <c r="J38" s="90" t="s">
        <v>1303</v>
      </c>
      <c r="K38" s="90" t="s">
        <v>1755</v>
      </c>
      <c r="L38" s="90" t="s">
        <v>1175</v>
      </c>
      <c r="M38" t="s">
        <v>1752</v>
      </c>
      <c r="O38" s="146" t="e">
        <f t="shared" si="0"/>
        <v>#VALUE!</v>
      </c>
      <c r="P38" s="146" t="e">
        <f t="shared" si="1"/>
        <v>#VALUE!</v>
      </c>
      <c r="Q38" s="146" t="e">
        <f t="shared" si="2"/>
        <v>#VALUE!</v>
      </c>
      <c r="R38" s="146" t="e">
        <f t="shared" si="3"/>
        <v>#VALUE!</v>
      </c>
      <c r="S38" s="146" t="e">
        <f t="shared" si="4"/>
        <v>#VALUE!</v>
      </c>
      <c r="T38" s="146" t="e">
        <f t="shared" si="5"/>
        <v>#VALUE!</v>
      </c>
      <c r="U38" s="146" t="e">
        <f t="shared" si="6"/>
        <v>#VALUE!</v>
      </c>
      <c r="V38" s="146" t="e">
        <f t="shared" si="7"/>
        <v>#VALUE!</v>
      </c>
      <c r="W38" s="90">
        <f t="shared" si="8"/>
        <v>0</v>
      </c>
      <c r="X38" s="90" t="str">
        <f t="shared" si="9"/>
        <v>F</v>
      </c>
    </row>
    <row r="39" spans="1:24">
      <c r="A39" t="s">
        <v>1888</v>
      </c>
      <c r="B39" s="99">
        <v>7</v>
      </c>
      <c r="D39" s="90">
        <v>4</v>
      </c>
      <c r="E39" s="90">
        <v>7</v>
      </c>
      <c r="F39" s="90" t="s">
        <v>1668</v>
      </c>
      <c r="G39" s="147">
        <v>3</v>
      </c>
      <c r="H39" s="147">
        <v>4</v>
      </c>
      <c r="I39" s="90">
        <v>3</v>
      </c>
      <c r="J39" s="90">
        <v>-6</v>
      </c>
      <c r="K39" s="90">
        <v>4</v>
      </c>
      <c r="L39" s="90" t="s">
        <v>1889</v>
      </c>
      <c r="M39" t="s">
        <v>2126</v>
      </c>
      <c r="O39" s="146">
        <f t="shared" si="0"/>
        <v>21</v>
      </c>
      <c r="P39" s="146">
        <f t="shared" si="1"/>
        <v>12</v>
      </c>
      <c r="Q39" s="146">
        <f t="shared" si="2"/>
        <v>12</v>
      </c>
      <c r="R39" s="146">
        <f t="shared" si="3"/>
        <v>21</v>
      </c>
      <c r="S39" s="146">
        <f t="shared" si="4"/>
        <v>9</v>
      </c>
      <c r="T39" s="146">
        <f t="shared" si="5"/>
        <v>9</v>
      </c>
      <c r="U39" s="146">
        <f t="shared" si="6"/>
        <v>-18</v>
      </c>
      <c r="V39" s="146" t="e">
        <f t="shared" si="7"/>
        <v>#VALUE!</v>
      </c>
      <c r="W39" s="90">
        <f t="shared" si="8"/>
        <v>0</v>
      </c>
      <c r="X39" s="90">
        <f t="shared" si="9"/>
        <v>4</v>
      </c>
    </row>
    <row r="40" spans="1:24">
      <c r="A40" t="s">
        <v>2127</v>
      </c>
      <c r="B40" s="99" t="s">
        <v>1668</v>
      </c>
      <c r="D40" s="90" t="s">
        <v>1668</v>
      </c>
      <c r="E40" s="90" t="s">
        <v>1668</v>
      </c>
      <c r="F40" s="90">
        <v>2</v>
      </c>
      <c r="G40" s="99">
        <v>2</v>
      </c>
      <c r="H40" s="99">
        <v>2</v>
      </c>
      <c r="I40" s="90">
        <v>5</v>
      </c>
      <c r="J40" s="90" t="s">
        <v>1404</v>
      </c>
      <c r="K40" s="90">
        <v>5</v>
      </c>
      <c r="L40" s="90" t="s">
        <v>1175</v>
      </c>
      <c r="M40" t="s">
        <v>2329</v>
      </c>
      <c r="O40" s="146" t="e">
        <f t="shared" si="0"/>
        <v>#VALUE!</v>
      </c>
      <c r="P40" s="146" t="e">
        <f t="shared" si="1"/>
        <v>#VALUE!</v>
      </c>
      <c r="Q40" s="146" t="e">
        <f t="shared" si="2"/>
        <v>#VALUE!</v>
      </c>
      <c r="R40" s="146" t="e">
        <f t="shared" si="3"/>
        <v>#VALUE!</v>
      </c>
      <c r="S40" s="146">
        <f t="shared" si="4"/>
        <v>6</v>
      </c>
      <c r="T40" s="146">
        <f t="shared" si="5"/>
        <v>15</v>
      </c>
      <c r="U40" s="146" t="e">
        <f t="shared" si="6"/>
        <v>#VALUE!</v>
      </c>
      <c r="V40" s="146">
        <f t="shared" si="7"/>
        <v>6</v>
      </c>
      <c r="W40" s="90">
        <f t="shared" si="8"/>
        <v>0</v>
      </c>
      <c r="X40" s="90">
        <f t="shared" si="9"/>
        <v>2</v>
      </c>
    </row>
    <row r="41" spans="1:24">
      <c r="A41" t="s">
        <v>2330</v>
      </c>
      <c r="B41" s="99">
        <v>7</v>
      </c>
      <c r="D41" s="90">
        <v>5</v>
      </c>
      <c r="E41" s="90">
        <v>6</v>
      </c>
      <c r="F41" s="90">
        <v>1</v>
      </c>
      <c r="G41" s="99">
        <v>4</v>
      </c>
      <c r="H41" s="99">
        <v>4</v>
      </c>
      <c r="I41" s="90">
        <v>5</v>
      </c>
      <c r="J41" s="90">
        <v>-5</v>
      </c>
      <c r="K41" s="90">
        <v>4</v>
      </c>
      <c r="L41" s="90" t="s">
        <v>1746</v>
      </c>
      <c r="M41" t="s">
        <v>2331</v>
      </c>
      <c r="O41" s="146">
        <f t="shared" si="0"/>
        <v>18</v>
      </c>
      <c r="P41" s="146">
        <f t="shared" si="1"/>
        <v>15</v>
      </c>
      <c r="Q41" s="146">
        <f t="shared" si="2"/>
        <v>15</v>
      </c>
      <c r="R41" s="146">
        <f t="shared" si="3"/>
        <v>21</v>
      </c>
      <c r="S41" s="146">
        <f t="shared" si="4"/>
        <v>12</v>
      </c>
      <c r="T41" s="146">
        <f t="shared" si="5"/>
        <v>15</v>
      </c>
      <c r="U41" s="146">
        <f t="shared" si="6"/>
        <v>-15</v>
      </c>
      <c r="V41" s="146">
        <f t="shared" si="7"/>
        <v>3</v>
      </c>
      <c r="W41" s="90">
        <f t="shared" si="8"/>
        <v>0</v>
      </c>
      <c r="X41" s="90">
        <f t="shared" si="9"/>
        <v>4</v>
      </c>
    </row>
    <row r="42" spans="1:24">
      <c r="A42" t="s">
        <v>2170</v>
      </c>
      <c r="B42" s="99">
        <v>9</v>
      </c>
      <c r="D42" s="90">
        <v>7</v>
      </c>
      <c r="E42" s="90">
        <v>9</v>
      </c>
      <c r="F42" s="90" t="s">
        <v>1668</v>
      </c>
      <c r="G42" s="147">
        <v>3</v>
      </c>
      <c r="H42" s="147">
        <v>5</v>
      </c>
      <c r="I42" s="90">
        <v>4</v>
      </c>
      <c r="J42" s="90">
        <v>-7</v>
      </c>
      <c r="K42" s="90">
        <v>6</v>
      </c>
      <c r="L42" s="90" t="s">
        <v>1624</v>
      </c>
      <c r="M42" t="s">
        <v>2298</v>
      </c>
      <c r="O42" s="146">
        <f t="shared" si="0"/>
        <v>27</v>
      </c>
      <c r="P42" s="146">
        <f t="shared" si="1"/>
        <v>21</v>
      </c>
      <c r="Q42" s="146">
        <f t="shared" si="2"/>
        <v>21</v>
      </c>
      <c r="R42" s="146">
        <f t="shared" si="3"/>
        <v>27</v>
      </c>
      <c r="S42" s="146">
        <f t="shared" si="4"/>
        <v>9</v>
      </c>
      <c r="T42" s="146">
        <f t="shared" si="5"/>
        <v>12</v>
      </c>
      <c r="U42" s="146">
        <f t="shared" si="6"/>
        <v>-21</v>
      </c>
      <c r="V42" s="146" t="e">
        <f t="shared" si="7"/>
        <v>#VALUE!</v>
      </c>
      <c r="W42" s="90">
        <f t="shared" si="8"/>
        <v>0</v>
      </c>
      <c r="X42" s="90">
        <f t="shared" si="9"/>
        <v>5</v>
      </c>
    </row>
    <row r="43" spans="1:24">
      <c r="A43" t="s">
        <v>1874</v>
      </c>
      <c r="B43" s="99">
        <v>4</v>
      </c>
      <c r="D43" s="90">
        <v>8</v>
      </c>
      <c r="E43" s="90">
        <v>4</v>
      </c>
      <c r="F43" s="90" t="s">
        <v>1668</v>
      </c>
      <c r="G43" s="147">
        <v>2</v>
      </c>
      <c r="H43" s="147">
        <v>3</v>
      </c>
      <c r="I43" s="90">
        <v>2</v>
      </c>
      <c r="J43" s="90">
        <v>-4</v>
      </c>
      <c r="K43" s="90">
        <v>5</v>
      </c>
      <c r="L43" s="90" t="s">
        <v>1038</v>
      </c>
      <c r="M43" t="s">
        <v>2098</v>
      </c>
      <c r="O43" s="146">
        <f t="shared" si="0"/>
        <v>12</v>
      </c>
      <c r="P43" s="146">
        <f t="shared" si="1"/>
        <v>24</v>
      </c>
      <c r="Q43" s="146">
        <f t="shared" si="2"/>
        <v>24</v>
      </c>
      <c r="R43" s="146">
        <f t="shared" si="3"/>
        <v>12</v>
      </c>
      <c r="S43" s="146">
        <f t="shared" si="4"/>
        <v>6</v>
      </c>
      <c r="T43" s="146">
        <f t="shared" si="5"/>
        <v>6</v>
      </c>
      <c r="U43" s="146">
        <f t="shared" si="6"/>
        <v>-12</v>
      </c>
      <c r="V43" s="146" t="e">
        <f t="shared" si="7"/>
        <v>#VALUE!</v>
      </c>
      <c r="W43" s="90">
        <f t="shared" si="8"/>
        <v>0</v>
      </c>
      <c r="X43" s="90">
        <f t="shared" si="9"/>
        <v>3</v>
      </c>
    </row>
    <row r="44" spans="1:24">
      <c r="A44" t="s">
        <v>2099</v>
      </c>
      <c r="B44" s="147">
        <v>12</v>
      </c>
      <c r="C44" s="147">
        <v>1</v>
      </c>
      <c r="D44" s="90">
        <v>5</v>
      </c>
      <c r="E44" s="90">
        <v>20</v>
      </c>
      <c r="F44" s="90" t="s">
        <v>1668</v>
      </c>
      <c r="G44" s="99">
        <v>3</v>
      </c>
      <c r="H44" s="99">
        <v>3</v>
      </c>
      <c r="I44" s="90">
        <v>6</v>
      </c>
      <c r="J44" s="90">
        <v>-6</v>
      </c>
      <c r="K44" s="90">
        <v>7</v>
      </c>
      <c r="L44" s="90" t="s">
        <v>1588</v>
      </c>
      <c r="O44" s="146">
        <f t="shared" si="0"/>
        <v>60</v>
      </c>
      <c r="P44" s="146">
        <f t="shared" si="1"/>
        <v>15</v>
      </c>
      <c r="Q44" s="146">
        <f t="shared" si="2"/>
        <v>15</v>
      </c>
      <c r="R44" s="146">
        <f t="shared" si="3"/>
        <v>36</v>
      </c>
      <c r="S44" s="146">
        <f t="shared" si="4"/>
        <v>9</v>
      </c>
      <c r="T44" s="146">
        <f t="shared" si="5"/>
        <v>18</v>
      </c>
      <c r="U44" s="146">
        <f t="shared" si="6"/>
        <v>-18</v>
      </c>
      <c r="V44" s="146" t="e">
        <f t="shared" si="7"/>
        <v>#VALUE!</v>
      </c>
      <c r="W44" s="90">
        <f t="shared" si="8"/>
        <v>1</v>
      </c>
      <c r="X44" s="90">
        <f t="shared" si="9"/>
        <v>3</v>
      </c>
    </row>
    <row r="45" spans="1:24">
      <c r="A45" t="s">
        <v>1558</v>
      </c>
      <c r="B45" s="99">
        <v>3</v>
      </c>
      <c r="D45" s="90">
        <v>4</v>
      </c>
      <c r="E45" s="90">
        <v>3</v>
      </c>
      <c r="F45" s="90">
        <v>4</v>
      </c>
      <c r="G45" s="99">
        <v>3</v>
      </c>
      <c r="H45" s="99">
        <v>3</v>
      </c>
      <c r="I45" s="90">
        <v>3</v>
      </c>
      <c r="J45" s="90">
        <v>-8</v>
      </c>
      <c r="K45" s="90" t="s">
        <v>1559</v>
      </c>
      <c r="L45" s="90" t="s">
        <v>1746</v>
      </c>
      <c r="M45" t="s">
        <v>1560</v>
      </c>
      <c r="O45" s="146">
        <f t="shared" si="0"/>
        <v>9</v>
      </c>
      <c r="P45" s="146">
        <f t="shared" si="1"/>
        <v>12</v>
      </c>
      <c r="Q45" s="146">
        <f t="shared" si="2"/>
        <v>12</v>
      </c>
      <c r="R45" s="146">
        <f t="shared" si="3"/>
        <v>9</v>
      </c>
      <c r="S45" s="146">
        <f t="shared" si="4"/>
        <v>9</v>
      </c>
      <c r="T45" s="146">
        <f t="shared" si="5"/>
        <v>9</v>
      </c>
      <c r="U45" s="146">
        <f t="shared" si="6"/>
        <v>-24</v>
      </c>
      <c r="V45" s="146">
        <f t="shared" si="7"/>
        <v>12</v>
      </c>
      <c r="W45" s="90">
        <f t="shared" si="8"/>
        <v>0</v>
      </c>
      <c r="X45" s="90">
        <f t="shared" si="9"/>
        <v>3</v>
      </c>
    </row>
    <row r="46" spans="1:24">
      <c r="A46" t="s">
        <v>1596</v>
      </c>
      <c r="B46" s="99">
        <v>5</v>
      </c>
      <c r="D46" s="90">
        <v>7</v>
      </c>
      <c r="E46" s="90">
        <v>7</v>
      </c>
      <c r="F46" s="90">
        <v>3</v>
      </c>
      <c r="G46" s="99">
        <v>3</v>
      </c>
      <c r="H46" s="99">
        <v>3</v>
      </c>
      <c r="I46" s="90">
        <v>3</v>
      </c>
      <c r="J46" s="90">
        <v>-6</v>
      </c>
      <c r="K46" s="90">
        <v>5</v>
      </c>
      <c r="L46" s="90" t="s">
        <v>1746</v>
      </c>
      <c r="O46" s="146">
        <f t="shared" si="0"/>
        <v>21</v>
      </c>
      <c r="P46" s="146">
        <f t="shared" si="1"/>
        <v>21</v>
      </c>
      <c r="Q46" s="146">
        <f t="shared" si="2"/>
        <v>21</v>
      </c>
      <c r="R46" s="146">
        <f t="shared" si="3"/>
        <v>15</v>
      </c>
      <c r="S46" s="146">
        <f t="shared" si="4"/>
        <v>9</v>
      </c>
      <c r="T46" s="146">
        <f t="shared" si="5"/>
        <v>9</v>
      </c>
      <c r="U46" s="146">
        <f t="shared" si="6"/>
        <v>-18</v>
      </c>
      <c r="V46" s="146">
        <f t="shared" si="7"/>
        <v>9</v>
      </c>
      <c r="W46" s="90">
        <f t="shared" si="8"/>
        <v>0</v>
      </c>
      <c r="X46" s="90">
        <f t="shared" si="9"/>
        <v>3</v>
      </c>
    </row>
    <row r="47" spans="1:24">
      <c r="A47" t="s">
        <v>1597</v>
      </c>
      <c r="B47" s="147">
        <v>5</v>
      </c>
      <c r="C47" s="147">
        <v>1</v>
      </c>
      <c r="D47" s="90">
        <v>2</v>
      </c>
      <c r="E47" s="90">
        <v>6</v>
      </c>
      <c r="F47" s="90">
        <v>3</v>
      </c>
      <c r="G47" s="99">
        <v>3</v>
      </c>
      <c r="H47" s="99">
        <v>3</v>
      </c>
      <c r="I47" s="90">
        <v>4</v>
      </c>
      <c r="J47" s="90">
        <v>-8</v>
      </c>
      <c r="K47" s="90">
        <v>4</v>
      </c>
      <c r="L47" s="90" t="s">
        <v>1598</v>
      </c>
      <c r="M47" t="s">
        <v>1978</v>
      </c>
      <c r="O47" s="146">
        <f t="shared" si="0"/>
        <v>18</v>
      </c>
      <c r="P47" s="146">
        <f t="shared" si="1"/>
        <v>6</v>
      </c>
      <c r="Q47" s="146">
        <f t="shared" si="2"/>
        <v>6</v>
      </c>
      <c r="R47" s="146">
        <f t="shared" si="3"/>
        <v>15</v>
      </c>
      <c r="S47" s="146">
        <f t="shared" si="4"/>
        <v>9</v>
      </c>
      <c r="T47" s="146">
        <f t="shared" si="5"/>
        <v>12</v>
      </c>
      <c r="U47" s="146">
        <f t="shared" si="6"/>
        <v>-24</v>
      </c>
      <c r="V47" s="146">
        <f t="shared" si="7"/>
        <v>9</v>
      </c>
      <c r="W47" s="90">
        <f t="shared" si="8"/>
        <v>1</v>
      </c>
      <c r="X47" s="90">
        <f t="shared" si="9"/>
        <v>3</v>
      </c>
    </row>
    <row r="48" spans="1:24">
      <c r="A48" t="s">
        <v>1232</v>
      </c>
      <c r="B48" s="99" t="s">
        <v>2128</v>
      </c>
      <c r="D48" s="90" t="s">
        <v>2086</v>
      </c>
      <c r="E48" s="90" t="s">
        <v>2128</v>
      </c>
      <c r="F48" s="90" t="s">
        <v>1302</v>
      </c>
      <c r="G48" s="99" t="s">
        <v>1302</v>
      </c>
      <c r="H48" s="99" t="s">
        <v>1302</v>
      </c>
      <c r="I48" s="90" t="s">
        <v>1302</v>
      </c>
      <c r="J48" s="90" t="s">
        <v>1303</v>
      </c>
      <c r="K48" s="90" t="s">
        <v>1300</v>
      </c>
      <c r="L48" s="90" t="s">
        <v>1175</v>
      </c>
      <c r="O48" s="146" t="e">
        <f t="shared" si="0"/>
        <v>#VALUE!</v>
      </c>
      <c r="P48" s="146" t="e">
        <f t="shared" si="1"/>
        <v>#VALUE!</v>
      </c>
      <c r="Q48" s="146" t="e">
        <f t="shared" si="2"/>
        <v>#VALUE!</v>
      </c>
      <c r="R48" s="146" t="e">
        <f t="shared" si="3"/>
        <v>#VALUE!</v>
      </c>
      <c r="S48" s="146" t="e">
        <f t="shared" si="4"/>
        <v>#VALUE!</v>
      </c>
      <c r="T48" s="146" t="e">
        <f t="shared" si="5"/>
        <v>#VALUE!</v>
      </c>
      <c r="U48" s="146" t="e">
        <f t="shared" si="6"/>
        <v>#VALUE!</v>
      </c>
      <c r="V48" s="146" t="e">
        <f t="shared" si="7"/>
        <v>#VALUE!</v>
      </c>
      <c r="W48" s="90">
        <f t="shared" si="8"/>
        <v>0</v>
      </c>
      <c r="X48" s="90" t="str">
        <f t="shared" si="9"/>
        <v>F</v>
      </c>
    </row>
    <row r="49" spans="1:24">
      <c r="A49" t="s">
        <v>1554</v>
      </c>
      <c r="H49" s="99"/>
      <c r="M49" t="s">
        <v>1555</v>
      </c>
      <c r="O49" s="146">
        <f t="shared" si="0"/>
        <v>0</v>
      </c>
      <c r="P49" s="146">
        <f t="shared" si="1"/>
        <v>0</v>
      </c>
      <c r="Q49" s="146">
        <f t="shared" si="2"/>
        <v>0</v>
      </c>
      <c r="R49" s="146">
        <f t="shared" si="3"/>
        <v>0</v>
      </c>
      <c r="S49" s="146">
        <f t="shared" si="4"/>
        <v>0</v>
      </c>
      <c r="T49" s="146">
        <f t="shared" si="5"/>
        <v>0</v>
      </c>
      <c r="U49" s="146">
        <f t="shared" si="6"/>
        <v>0</v>
      </c>
      <c r="V49" s="146">
        <f t="shared" si="7"/>
        <v>0</v>
      </c>
      <c r="W49" s="90">
        <f t="shared" si="8"/>
        <v>0</v>
      </c>
      <c r="X49" s="90">
        <f t="shared" si="9"/>
        <v>0</v>
      </c>
    </row>
    <row r="50" spans="1:24">
      <c r="A50" t="s">
        <v>1595</v>
      </c>
      <c r="H50" s="99"/>
      <c r="M50" t="s">
        <v>994</v>
      </c>
      <c r="O50" s="146">
        <f t="shared" si="0"/>
        <v>0</v>
      </c>
      <c r="P50" s="146">
        <f t="shared" si="1"/>
        <v>0</v>
      </c>
      <c r="Q50" s="146">
        <f t="shared" si="2"/>
        <v>0</v>
      </c>
      <c r="R50" s="146">
        <f t="shared" si="3"/>
        <v>0</v>
      </c>
      <c r="S50" s="146">
        <f t="shared" si="4"/>
        <v>0</v>
      </c>
      <c r="T50" s="146">
        <f t="shared" si="5"/>
        <v>0</v>
      </c>
      <c r="U50" s="146">
        <f t="shared" si="6"/>
        <v>0</v>
      </c>
      <c r="V50" s="146">
        <f t="shared" si="7"/>
        <v>0</v>
      </c>
      <c r="W50" s="90">
        <f t="shared" si="8"/>
        <v>0</v>
      </c>
      <c r="X50" s="90">
        <f t="shared" si="9"/>
        <v>0</v>
      </c>
    </row>
    <row r="51" spans="1:24">
      <c r="A51" t="s">
        <v>1443</v>
      </c>
      <c r="H51" s="99"/>
      <c r="M51" t="s">
        <v>1192</v>
      </c>
      <c r="O51" s="146">
        <f t="shared" si="0"/>
        <v>0</v>
      </c>
      <c r="P51" s="146">
        <f t="shared" si="1"/>
        <v>0</v>
      </c>
      <c r="Q51" s="146">
        <f t="shared" si="2"/>
        <v>0</v>
      </c>
      <c r="R51" s="146">
        <f t="shared" si="3"/>
        <v>0</v>
      </c>
      <c r="S51" s="146">
        <f t="shared" si="4"/>
        <v>0</v>
      </c>
      <c r="T51" s="146">
        <f t="shared" si="5"/>
        <v>0</v>
      </c>
      <c r="U51" s="146">
        <f t="shared" si="6"/>
        <v>0</v>
      </c>
      <c r="V51" s="146">
        <f t="shared" si="7"/>
        <v>0</v>
      </c>
      <c r="W51" s="90">
        <f t="shared" si="8"/>
        <v>0</v>
      </c>
      <c r="X51" s="90">
        <f t="shared" si="9"/>
        <v>0</v>
      </c>
    </row>
    <row r="52" spans="1:24">
      <c r="A52" t="s">
        <v>1193</v>
      </c>
      <c r="H52" s="99"/>
      <c r="M52" t="s">
        <v>1184</v>
      </c>
      <c r="O52" s="146">
        <f t="shared" si="0"/>
        <v>0</v>
      </c>
      <c r="P52" s="146">
        <f t="shared" si="1"/>
        <v>0</v>
      </c>
      <c r="Q52" s="146">
        <f t="shared" si="2"/>
        <v>0</v>
      </c>
      <c r="R52" s="146">
        <f t="shared" si="3"/>
        <v>0</v>
      </c>
      <c r="S52" s="146">
        <f t="shared" si="4"/>
        <v>0</v>
      </c>
      <c r="T52" s="146">
        <f t="shared" si="5"/>
        <v>0</v>
      </c>
      <c r="U52" s="146">
        <f t="shared" si="6"/>
        <v>0</v>
      </c>
      <c r="V52" s="146">
        <f t="shared" si="7"/>
        <v>0</v>
      </c>
      <c r="W52" s="90">
        <f t="shared" si="8"/>
        <v>0</v>
      </c>
      <c r="X52" s="90">
        <f t="shared" si="9"/>
        <v>0</v>
      </c>
    </row>
    <row r="53" spans="1:24">
      <c r="A53" t="s">
        <v>1355</v>
      </c>
      <c r="B53" s="99" t="s">
        <v>1300</v>
      </c>
      <c r="D53" s="90" t="s">
        <v>2085</v>
      </c>
      <c r="E53" s="90" t="s">
        <v>1301</v>
      </c>
      <c r="F53" s="90" t="s">
        <v>1302</v>
      </c>
      <c r="G53" s="99" t="s">
        <v>1302</v>
      </c>
      <c r="H53" s="99" t="s">
        <v>1302</v>
      </c>
      <c r="I53" s="90" t="s">
        <v>1302</v>
      </c>
      <c r="J53" s="90" t="s">
        <v>1303</v>
      </c>
      <c r="K53" s="90" t="s">
        <v>1221</v>
      </c>
      <c r="L53" s="90" t="s">
        <v>1175</v>
      </c>
      <c r="O53" s="146" t="e">
        <f t="shared" si="0"/>
        <v>#VALUE!</v>
      </c>
      <c r="P53" s="146" t="e">
        <f t="shared" si="1"/>
        <v>#VALUE!</v>
      </c>
      <c r="Q53" s="146" t="e">
        <f t="shared" si="2"/>
        <v>#VALUE!</v>
      </c>
      <c r="R53" s="146" t="e">
        <f t="shared" si="3"/>
        <v>#VALUE!</v>
      </c>
      <c r="S53" s="146" t="e">
        <f t="shared" si="4"/>
        <v>#VALUE!</v>
      </c>
      <c r="T53" s="146" t="e">
        <f t="shared" si="5"/>
        <v>#VALUE!</v>
      </c>
      <c r="U53" s="146" t="e">
        <f t="shared" si="6"/>
        <v>#VALUE!</v>
      </c>
      <c r="V53" s="146" t="e">
        <f t="shared" si="7"/>
        <v>#VALUE!</v>
      </c>
      <c r="W53" s="90">
        <f t="shared" si="8"/>
        <v>0</v>
      </c>
      <c r="X53" s="90" t="str">
        <f t="shared" si="9"/>
        <v>F</v>
      </c>
    </row>
    <row r="54" spans="1:24">
      <c r="A54" t="s">
        <v>1503</v>
      </c>
      <c r="H54" s="99"/>
      <c r="M54" t="s">
        <v>1833</v>
      </c>
      <c r="O54" s="146">
        <f t="shared" si="0"/>
        <v>0</v>
      </c>
      <c r="P54" s="146">
        <f t="shared" si="1"/>
        <v>0</v>
      </c>
      <c r="Q54" s="146">
        <f t="shared" si="2"/>
        <v>0</v>
      </c>
      <c r="R54" s="146">
        <f t="shared" si="3"/>
        <v>0</v>
      </c>
      <c r="S54" s="146">
        <f t="shared" si="4"/>
        <v>0</v>
      </c>
      <c r="T54" s="146">
        <f t="shared" si="5"/>
        <v>0</v>
      </c>
      <c r="U54" s="146">
        <f t="shared" si="6"/>
        <v>0</v>
      </c>
      <c r="V54" s="146">
        <f t="shared" si="7"/>
        <v>0</v>
      </c>
      <c r="W54" s="90">
        <f t="shared" si="8"/>
        <v>0</v>
      </c>
      <c r="X54" s="90">
        <f t="shared" si="9"/>
        <v>0</v>
      </c>
    </row>
    <row r="55" spans="1:24">
      <c r="A55" t="s">
        <v>1834</v>
      </c>
      <c r="H55" s="99"/>
      <c r="M55" t="s">
        <v>1460</v>
      </c>
      <c r="O55" s="146">
        <f t="shared" si="0"/>
        <v>0</v>
      </c>
      <c r="P55" s="146">
        <f t="shared" si="1"/>
        <v>0</v>
      </c>
      <c r="Q55" s="146">
        <f t="shared" si="2"/>
        <v>0</v>
      </c>
      <c r="R55" s="146">
        <f t="shared" si="3"/>
        <v>0</v>
      </c>
      <c r="S55" s="146">
        <f t="shared" si="4"/>
        <v>0</v>
      </c>
      <c r="T55" s="146">
        <f t="shared" si="5"/>
        <v>0</v>
      </c>
      <c r="U55" s="146">
        <f t="shared" si="6"/>
        <v>0</v>
      </c>
      <c r="V55" s="146">
        <f t="shared" si="7"/>
        <v>0</v>
      </c>
      <c r="W55" s="90">
        <f t="shared" si="8"/>
        <v>0</v>
      </c>
      <c r="X55" s="90">
        <f t="shared" si="9"/>
        <v>0</v>
      </c>
    </row>
    <row r="56" spans="1:24">
      <c r="A56" t="s">
        <v>1306</v>
      </c>
      <c r="B56" s="99" t="s">
        <v>1221</v>
      </c>
      <c r="D56" s="90" t="s">
        <v>1302</v>
      </c>
      <c r="E56" s="90" t="s">
        <v>1302</v>
      </c>
      <c r="F56" s="90" t="s">
        <v>1302</v>
      </c>
      <c r="G56" s="99" t="s">
        <v>1302</v>
      </c>
      <c r="H56" s="99" t="s">
        <v>1302</v>
      </c>
      <c r="I56" s="90" t="s">
        <v>1302</v>
      </c>
      <c r="J56" s="90" t="s">
        <v>1303</v>
      </c>
      <c r="K56" s="90" t="s">
        <v>1878</v>
      </c>
      <c r="L56" s="90" t="s">
        <v>1175</v>
      </c>
      <c r="O56" s="146" t="e">
        <f t="shared" si="0"/>
        <v>#VALUE!</v>
      </c>
      <c r="P56" s="146" t="e">
        <f t="shared" si="1"/>
        <v>#VALUE!</v>
      </c>
      <c r="Q56" s="146" t="e">
        <f t="shared" si="2"/>
        <v>#VALUE!</v>
      </c>
      <c r="R56" s="146" t="e">
        <f t="shared" si="3"/>
        <v>#VALUE!</v>
      </c>
      <c r="S56" s="146" t="e">
        <f t="shared" si="4"/>
        <v>#VALUE!</v>
      </c>
      <c r="T56" s="146" t="e">
        <f t="shared" si="5"/>
        <v>#VALUE!</v>
      </c>
      <c r="U56" s="146" t="e">
        <f t="shared" si="6"/>
        <v>#VALUE!</v>
      </c>
      <c r="V56" s="146" t="e">
        <f t="shared" si="7"/>
        <v>#VALUE!</v>
      </c>
      <c r="W56" s="90">
        <f t="shared" si="8"/>
        <v>0</v>
      </c>
      <c r="X56" s="90" t="str">
        <f t="shared" si="9"/>
        <v>F</v>
      </c>
    </row>
    <row r="57" spans="1:24">
      <c r="A57" t="s">
        <v>1307</v>
      </c>
      <c r="H57" s="99"/>
      <c r="M57" t="s">
        <v>1463</v>
      </c>
      <c r="O57" s="146">
        <f t="shared" si="0"/>
        <v>0</v>
      </c>
      <c r="P57" s="146">
        <f t="shared" si="1"/>
        <v>0</v>
      </c>
      <c r="Q57" s="146">
        <f t="shared" si="2"/>
        <v>0</v>
      </c>
      <c r="R57" s="146">
        <f t="shared" si="3"/>
        <v>0</v>
      </c>
      <c r="S57" s="146">
        <f t="shared" si="4"/>
        <v>0</v>
      </c>
      <c r="T57" s="146">
        <f t="shared" si="5"/>
        <v>0</v>
      </c>
      <c r="U57" s="146">
        <f t="shared" si="6"/>
        <v>0</v>
      </c>
      <c r="V57" s="146">
        <f t="shared" si="7"/>
        <v>0</v>
      </c>
      <c r="W57" s="90">
        <f t="shared" si="8"/>
        <v>0</v>
      </c>
      <c r="X57" s="90">
        <f t="shared" si="9"/>
        <v>0</v>
      </c>
    </row>
    <row r="58" spans="1:24">
      <c r="A58" t="s">
        <v>1464</v>
      </c>
      <c r="H58" s="99"/>
      <c r="M58" t="s">
        <v>1853</v>
      </c>
      <c r="O58" s="146">
        <f t="shared" si="0"/>
        <v>0</v>
      </c>
      <c r="P58" s="146">
        <f t="shared" si="1"/>
        <v>0</v>
      </c>
      <c r="Q58" s="146">
        <f t="shared" si="2"/>
        <v>0</v>
      </c>
      <c r="R58" s="146">
        <f t="shared" si="3"/>
        <v>0</v>
      </c>
      <c r="S58" s="146">
        <f t="shared" si="4"/>
        <v>0</v>
      </c>
      <c r="T58" s="146">
        <f t="shared" si="5"/>
        <v>0</v>
      </c>
      <c r="U58" s="146">
        <f t="shared" si="6"/>
        <v>0</v>
      </c>
      <c r="V58" s="146">
        <f t="shared" si="7"/>
        <v>0</v>
      </c>
      <c r="W58" s="90">
        <f t="shared" si="8"/>
        <v>0</v>
      </c>
      <c r="X58" s="90">
        <f t="shared" si="9"/>
        <v>0</v>
      </c>
    </row>
    <row r="59" spans="1:24">
      <c r="A59" t="s">
        <v>2286</v>
      </c>
      <c r="H59" s="99"/>
      <c r="M59" t="s">
        <v>2135</v>
      </c>
      <c r="O59" s="146">
        <f t="shared" si="0"/>
        <v>0</v>
      </c>
      <c r="P59" s="146">
        <f t="shared" si="1"/>
        <v>0</v>
      </c>
      <c r="Q59" s="146">
        <f t="shared" si="2"/>
        <v>0</v>
      </c>
      <c r="R59" s="146">
        <f t="shared" si="3"/>
        <v>0</v>
      </c>
      <c r="S59" s="146">
        <f t="shared" si="4"/>
        <v>0</v>
      </c>
      <c r="T59" s="146">
        <f t="shared" si="5"/>
        <v>0</v>
      </c>
      <c r="U59" s="146">
        <f t="shared" si="6"/>
        <v>0</v>
      </c>
      <c r="V59" s="146">
        <f t="shared" si="7"/>
        <v>0</v>
      </c>
      <c r="W59" s="90">
        <f t="shared" si="8"/>
        <v>0</v>
      </c>
      <c r="X59" s="90">
        <f t="shared" si="9"/>
        <v>0</v>
      </c>
    </row>
    <row r="60" spans="1:24">
      <c r="A60" t="s">
        <v>1982</v>
      </c>
      <c r="H60" s="99"/>
      <c r="M60" t="s">
        <v>2032</v>
      </c>
      <c r="O60" s="146">
        <f t="shared" si="0"/>
        <v>0</v>
      </c>
      <c r="P60" s="146">
        <f t="shared" si="1"/>
        <v>0</v>
      </c>
      <c r="Q60" s="146">
        <f t="shared" si="2"/>
        <v>0</v>
      </c>
      <c r="R60" s="146">
        <f t="shared" si="3"/>
        <v>0</v>
      </c>
      <c r="S60" s="146">
        <f t="shared" si="4"/>
        <v>0</v>
      </c>
      <c r="T60" s="146">
        <f t="shared" si="5"/>
        <v>0</v>
      </c>
      <c r="U60" s="146">
        <f t="shared" si="6"/>
        <v>0</v>
      </c>
      <c r="V60" s="146">
        <f t="shared" si="7"/>
        <v>0</v>
      </c>
      <c r="W60" s="90">
        <f t="shared" si="8"/>
        <v>0</v>
      </c>
      <c r="X60" s="90">
        <f t="shared" si="9"/>
        <v>0</v>
      </c>
    </row>
    <row r="61" spans="1:24">
      <c r="A61" t="s">
        <v>2208</v>
      </c>
      <c r="B61" s="99" t="s">
        <v>1878</v>
      </c>
      <c r="D61" s="90" t="s">
        <v>2087</v>
      </c>
      <c r="E61" s="90" t="s">
        <v>1300</v>
      </c>
      <c r="F61" s="90" t="s">
        <v>1302</v>
      </c>
      <c r="G61" s="99" t="s">
        <v>1302</v>
      </c>
      <c r="H61" s="99" t="s">
        <v>1302</v>
      </c>
      <c r="I61" s="90" t="s">
        <v>1302</v>
      </c>
      <c r="J61" s="90" t="s">
        <v>1303</v>
      </c>
      <c r="K61" s="90" t="s">
        <v>1878</v>
      </c>
      <c r="L61" s="90" t="s">
        <v>1175</v>
      </c>
      <c r="O61" s="146" t="e">
        <f t="shared" si="0"/>
        <v>#VALUE!</v>
      </c>
      <c r="P61" s="146" t="e">
        <f t="shared" si="1"/>
        <v>#VALUE!</v>
      </c>
      <c r="Q61" s="146" t="e">
        <f t="shared" si="2"/>
        <v>#VALUE!</v>
      </c>
      <c r="R61" s="146" t="e">
        <f t="shared" si="3"/>
        <v>#VALUE!</v>
      </c>
      <c r="S61" s="146" t="e">
        <f t="shared" si="4"/>
        <v>#VALUE!</v>
      </c>
      <c r="T61" s="146" t="e">
        <f t="shared" si="5"/>
        <v>#VALUE!</v>
      </c>
      <c r="U61" s="146" t="e">
        <f t="shared" si="6"/>
        <v>#VALUE!</v>
      </c>
      <c r="V61" s="146" t="e">
        <f t="shared" si="7"/>
        <v>#VALUE!</v>
      </c>
      <c r="W61" s="90">
        <f t="shared" si="8"/>
        <v>0</v>
      </c>
      <c r="X61" s="90" t="str">
        <f t="shared" si="9"/>
        <v>F</v>
      </c>
    </row>
    <row r="62" spans="1:24">
      <c r="A62" t="s">
        <v>2065</v>
      </c>
      <c r="H62" s="99"/>
      <c r="M62" t="s">
        <v>2190</v>
      </c>
      <c r="O62" s="146">
        <f t="shared" si="0"/>
        <v>0</v>
      </c>
      <c r="P62" s="146">
        <f t="shared" si="1"/>
        <v>0</v>
      </c>
      <c r="Q62" s="146">
        <f t="shared" si="2"/>
        <v>0</v>
      </c>
      <c r="R62" s="146">
        <f t="shared" si="3"/>
        <v>0</v>
      </c>
      <c r="S62" s="146">
        <f t="shared" si="4"/>
        <v>0</v>
      </c>
      <c r="T62" s="146">
        <f t="shared" si="5"/>
        <v>0</v>
      </c>
      <c r="U62" s="146">
        <f t="shared" si="6"/>
        <v>0</v>
      </c>
      <c r="V62" s="146">
        <f t="shared" si="7"/>
        <v>0</v>
      </c>
      <c r="W62" s="90">
        <f t="shared" si="8"/>
        <v>0</v>
      </c>
      <c r="X62" s="90">
        <f t="shared" si="9"/>
        <v>0</v>
      </c>
    </row>
    <row r="63" spans="1:24">
      <c r="A63" t="s">
        <v>1627</v>
      </c>
      <c r="H63" s="99"/>
      <c r="M63" t="s">
        <v>1699</v>
      </c>
      <c r="O63" s="146">
        <f t="shared" si="0"/>
        <v>0</v>
      </c>
      <c r="P63" s="146">
        <f t="shared" si="1"/>
        <v>0</v>
      </c>
      <c r="Q63" s="146">
        <f t="shared" si="2"/>
        <v>0</v>
      </c>
      <c r="R63" s="146">
        <f t="shared" si="3"/>
        <v>0</v>
      </c>
      <c r="S63" s="146">
        <f t="shared" si="4"/>
        <v>0</v>
      </c>
      <c r="T63" s="146">
        <f t="shared" si="5"/>
        <v>0</v>
      </c>
      <c r="U63" s="146">
        <f t="shared" si="6"/>
        <v>0</v>
      </c>
      <c r="V63" s="146">
        <f t="shared" si="7"/>
        <v>0</v>
      </c>
      <c r="W63" s="90">
        <f t="shared" si="8"/>
        <v>0</v>
      </c>
      <c r="X63" s="90">
        <f t="shared" si="9"/>
        <v>0</v>
      </c>
    </row>
    <row r="64" spans="1:24">
      <c r="A64" t="s">
        <v>1700</v>
      </c>
      <c r="H64" s="99"/>
      <c r="M64" t="s">
        <v>2270</v>
      </c>
      <c r="O64" s="146">
        <f t="shared" si="0"/>
        <v>0</v>
      </c>
      <c r="P64" s="146">
        <f t="shared" si="1"/>
        <v>0</v>
      </c>
      <c r="Q64" s="146">
        <f t="shared" si="2"/>
        <v>0</v>
      </c>
      <c r="R64" s="146">
        <f t="shared" si="3"/>
        <v>0</v>
      </c>
      <c r="S64" s="146">
        <f t="shared" si="4"/>
        <v>0</v>
      </c>
      <c r="T64" s="146">
        <f t="shared" si="5"/>
        <v>0</v>
      </c>
      <c r="U64" s="146">
        <f t="shared" si="6"/>
        <v>0</v>
      </c>
      <c r="V64" s="146">
        <f t="shared" si="7"/>
        <v>0</v>
      </c>
      <c r="W64" s="90">
        <f t="shared" si="8"/>
        <v>0</v>
      </c>
      <c r="X64" s="90">
        <f t="shared" si="9"/>
        <v>0</v>
      </c>
    </row>
    <row r="65" spans="1:24">
      <c r="A65" t="s">
        <v>2271</v>
      </c>
      <c r="B65" s="99">
        <v>3</v>
      </c>
      <c r="D65" s="90">
        <v>5</v>
      </c>
      <c r="E65" s="90">
        <v>4</v>
      </c>
      <c r="F65" s="90" t="s">
        <v>1668</v>
      </c>
      <c r="G65" s="147">
        <v>2</v>
      </c>
      <c r="H65" s="147">
        <v>4</v>
      </c>
      <c r="I65" s="90">
        <v>2</v>
      </c>
      <c r="J65" s="90">
        <v>-6</v>
      </c>
      <c r="K65" s="90">
        <v>3</v>
      </c>
      <c r="L65" s="90" t="s">
        <v>1038</v>
      </c>
      <c r="M65" t="s">
        <v>2272</v>
      </c>
      <c r="O65" s="146">
        <f t="shared" si="0"/>
        <v>12</v>
      </c>
      <c r="P65" s="146">
        <f t="shared" si="1"/>
        <v>15</v>
      </c>
      <c r="Q65" s="146">
        <f t="shared" si="2"/>
        <v>15</v>
      </c>
      <c r="R65" s="146">
        <f t="shared" si="3"/>
        <v>9</v>
      </c>
      <c r="S65" s="146">
        <f t="shared" si="4"/>
        <v>6</v>
      </c>
      <c r="T65" s="146">
        <f t="shared" si="5"/>
        <v>6</v>
      </c>
      <c r="U65" s="146">
        <f t="shared" si="6"/>
        <v>-18</v>
      </c>
      <c r="V65" s="146" t="e">
        <f t="shared" si="7"/>
        <v>#VALUE!</v>
      </c>
      <c r="W65" s="90">
        <f t="shared" si="8"/>
        <v>0</v>
      </c>
      <c r="X65" s="90">
        <f t="shared" si="9"/>
        <v>4</v>
      </c>
    </row>
    <row r="66" spans="1:24">
      <c r="A66" t="s">
        <v>1599</v>
      </c>
      <c r="B66" s="99">
        <v>8</v>
      </c>
      <c r="D66" s="90">
        <v>3</v>
      </c>
      <c r="E66" s="90">
        <v>7</v>
      </c>
      <c r="F66" s="90">
        <v>3</v>
      </c>
      <c r="G66" s="99">
        <v>3</v>
      </c>
      <c r="H66" s="99">
        <v>3</v>
      </c>
      <c r="I66" s="90">
        <v>2</v>
      </c>
      <c r="J66" s="90">
        <v>-6</v>
      </c>
      <c r="K66" s="90">
        <v>4</v>
      </c>
      <c r="L66" s="90" t="s">
        <v>1806</v>
      </c>
      <c r="O66" s="146">
        <f t="shared" si="0"/>
        <v>21</v>
      </c>
      <c r="P66" s="146">
        <f t="shared" si="1"/>
        <v>9</v>
      </c>
      <c r="Q66" s="146">
        <f t="shared" si="2"/>
        <v>9</v>
      </c>
      <c r="R66" s="146">
        <f t="shared" si="3"/>
        <v>24</v>
      </c>
      <c r="S66" s="146">
        <f t="shared" si="4"/>
        <v>9</v>
      </c>
      <c r="T66" s="146">
        <f t="shared" si="5"/>
        <v>6</v>
      </c>
      <c r="U66" s="146">
        <f t="shared" si="6"/>
        <v>-18</v>
      </c>
      <c r="V66" s="146">
        <f t="shared" si="7"/>
        <v>9</v>
      </c>
      <c r="W66" s="90">
        <f t="shared" si="8"/>
        <v>0</v>
      </c>
      <c r="X66" s="90">
        <f t="shared" si="9"/>
        <v>3</v>
      </c>
    </row>
    <row r="67" spans="1:24">
      <c r="A67" t="s">
        <v>1600</v>
      </c>
      <c r="B67" s="99">
        <v>5</v>
      </c>
      <c r="D67" s="90">
        <v>4</v>
      </c>
      <c r="E67" s="90">
        <v>5</v>
      </c>
      <c r="F67" s="90">
        <v>5</v>
      </c>
      <c r="G67" s="99">
        <v>3</v>
      </c>
      <c r="H67" s="99">
        <v>3</v>
      </c>
      <c r="I67" s="90">
        <v>3</v>
      </c>
      <c r="J67" s="90">
        <v>-8</v>
      </c>
      <c r="K67" s="90" t="s">
        <v>2039</v>
      </c>
      <c r="L67" s="90" t="s">
        <v>1746</v>
      </c>
      <c r="O67" s="146">
        <f t="shared" ref="O67:O130" si="10">E67*3</f>
        <v>15</v>
      </c>
      <c r="P67" s="146">
        <f t="shared" ref="P67:P130" si="11">D67*3</f>
        <v>12</v>
      </c>
      <c r="Q67" s="146">
        <f t="shared" ref="Q67:Q130" si="12">D67*3</f>
        <v>12</v>
      </c>
      <c r="R67" s="146">
        <f t="shared" ref="R67:R130" si="13">B67*3</f>
        <v>15</v>
      </c>
      <c r="S67" s="146">
        <f t="shared" ref="S67:S130" si="14">G67*3</f>
        <v>9</v>
      </c>
      <c r="T67" s="146">
        <f t="shared" ref="T67:T130" si="15">I67*3</f>
        <v>9</v>
      </c>
      <c r="U67" s="146">
        <f t="shared" ref="U67:U130" si="16">J67*3</f>
        <v>-24</v>
      </c>
      <c r="V67" s="146">
        <f t="shared" ref="V67:V130" si="17">F67*3</f>
        <v>15</v>
      </c>
      <c r="W67" s="90">
        <f t="shared" ref="W67:W130" si="18">C67</f>
        <v>0</v>
      </c>
      <c r="X67" s="90">
        <f t="shared" ref="X67:X130" si="19">H67</f>
        <v>3</v>
      </c>
    </row>
    <row r="68" spans="1:24">
      <c r="A68" t="s">
        <v>1814</v>
      </c>
      <c r="B68" s="99" t="s">
        <v>1543</v>
      </c>
      <c r="D68" s="90" t="s">
        <v>1544</v>
      </c>
      <c r="E68" s="90" t="s">
        <v>1543</v>
      </c>
      <c r="F68" s="90">
        <v>5</v>
      </c>
      <c r="G68" s="99">
        <v>3</v>
      </c>
      <c r="H68" s="99">
        <v>3</v>
      </c>
      <c r="I68" s="90">
        <v>3</v>
      </c>
      <c r="J68" s="90">
        <v>-8</v>
      </c>
      <c r="K68" s="90" t="s">
        <v>2039</v>
      </c>
      <c r="L68" s="90" t="s">
        <v>1805</v>
      </c>
      <c r="M68" t="s">
        <v>1819</v>
      </c>
      <c r="O68" s="146" t="e">
        <f t="shared" si="10"/>
        <v>#VALUE!</v>
      </c>
      <c r="P68" s="146" t="e">
        <f t="shared" si="11"/>
        <v>#VALUE!</v>
      </c>
      <c r="Q68" s="146" t="e">
        <f t="shared" si="12"/>
        <v>#VALUE!</v>
      </c>
      <c r="R68" s="146" t="e">
        <f t="shared" si="13"/>
        <v>#VALUE!</v>
      </c>
      <c r="S68" s="146">
        <f t="shared" si="14"/>
        <v>9</v>
      </c>
      <c r="T68" s="146">
        <f t="shared" si="15"/>
        <v>9</v>
      </c>
      <c r="U68" s="146">
        <f t="shared" si="16"/>
        <v>-24</v>
      </c>
      <c r="V68" s="146">
        <f t="shared" si="17"/>
        <v>15</v>
      </c>
      <c r="W68" s="90">
        <f t="shared" si="18"/>
        <v>0</v>
      </c>
      <c r="X68" s="90">
        <f t="shared" si="19"/>
        <v>3</v>
      </c>
    </row>
    <row r="69" spans="1:24">
      <c r="A69" t="s">
        <v>1682</v>
      </c>
      <c r="B69" s="99">
        <v>4</v>
      </c>
      <c r="D69" s="90">
        <v>7</v>
      </c>
      <c r="E69" s="90">
        <v>8</v>
      </c>
      <c r="F69" s="90" t="s">
        <v>1668</v>
      </c>
      <c r="G69" s="147">
        <v>2</v>
      </c>
      <c r="H69" s="147">
        <v>4</v>
      </c>
      <c r="I69" s="90">
        <v>3</v>
      </c>
      <c r="J69" s="90">
        <v>-6</v>
      </c>
      <c r="K69" s="90">
        <v>5</v>
      </c>
      <c r="L69" s="90" t="s">
        <v>1086</v>
      </c>
      <c r="M69" t="s">
        <v>1952</v>
      </c>
      <c r="O69" s="146">
        <f t="shared" si="10"/>
        <v>24</v>
      </c>
      <c r="P69" s="146">
        <f t="shared" si="11"/>
        <v>21</v>
      </c>
      <c r="Q69" s="146">
        <f t="shared" si="12"/>
        <v>21</v>
      </c>
      <c r="R69" s="146">
        <f t="shared" si="13"/>
        <v>12</v>
      </c>
      <c r="S69" s="146">
        <f t="shared" si="14"/>
        <v>6</v>
      </c>
      <c r="T69" s="146">
        <f t="shared" si="15"/>
        <v>9</v>
      </c>
      <c r="U69" s="146">
        <f t="shared" si="16"/>
        <v>-18</v>
      </c>
      <c r="V69" s="146" t="e">
        <f t="shared" si="17"/>
        <v>#VALUE!</v>
      </c>
      <c r="W69" s="90">
        <f t="shared" si="18"/>
        <v>0</v>
      </c>
      <c r="X69" s="90">
        <f t="shared" si="19"/>
        <v>4</v>
      </c>
    </row>
    <row r="70" spans="1:24">
      <c r="A70" t="s">
        <v>1953</v>
      </c>
      <c r="B70" s="99">
        <v>8</v>
      </c>
      <c r="D70" s="90">
        <v>5</v>
      </c>
      <c r="E70" s="90">
        <v>8</v>
      </c>
      <c r="F70" s="90" t="s">
        <v>1668</v>
      </c>
      <c r="G70" s="147">
        <v>3</v>
      </c>
      <c r="H70" s="147">
        <v>4</v>
      </c>
      <c r="I70" s="90">
        <v>4</v>
      </c>
      <c r="J70" s="90">
        <v>-9</v>
      </c>
      <c r="K70" s="90">
        <v>5</v>
      </c>
      <c r="L70" s="90" t="s">
        <v>1612</v>
      </c>
      <c r="M70" t="s">
        <v>1338</v>
      </c>
      <c r="O70" s="146">
        <f t="shared" si="10"/>
        <v>24</v>
      </c>
      <c r="P70" s="146">
        <f t="shared" si="11"/>
        <v>15</v>
      </c>
      <c r="Q70" s="146">
        <f t="shared" si="12"/>
        <v>15</v>
      </c>
      <c r="R70" s="146">
        <f t="shared" si="13"/>
        <v>24</v>
      </c>
      <c r="S70" s="146">
        <f t="shared" si="14"/>
        <v>9</v>
      </c>
      <c r="T70" s="146">
        <f t="shared" si="15"/>
        <v>12</v>
      </c>
      <c r="U70" s="146">
        <f t="shared" si="16"/>
        <v>-27</v>
      </c>
      <c r="V70" s="146" t="e">
        <f t="shared" si="17"/>
        <v>#VALUE!</v>
      </c>
      <c r="W70" s="90">
        <f t="shared" si="18"/>
        <v>0</v>
      </c>
      <c r="X70" s="90">
        <f t="shared" si="19"/>
        <v>4</v>
      </c>
    </row>
    <row r="71" spans="1:24">
      <c r="A71" t="s">
        <v>1748</v>
      </c>
      <c r="B71" s="99" t="s">
        <v>2012</v>
      </c>
      <c r="D71" s="90" t="s">
        <v>2012</v>
      </c>
      <c r="E71" s="90" t="s">
        <v>1749</v>
      </c>
      <c r="F71" s="90" t="s">
        <v>2012</v>
      </c>
      <c r="G71" s="99" t="s">
        <v>2012</v>
      </c>
      <c r="H71" s="99" t="s">
        <v>2012</v>
      </c>
      <c r="I71" s="90" t="s">
        <v>2012</v>
      </c>
      <c r="J71" s="90" t="s">
        <v>1000</v>
      </c>
      <c r="K71" s="90" t="s">
        <v>1750</v>
      </c>
      <c r="L71" s="90" t="s">
        <v>1746</v>
      </c>
      <c r="M71" t="s">
        <v>1872</v>
      </c>
      <c r="O71" s="146" t="e">
        <f t="shared" si="10"/>
        <v>#VALUE!</v>
      </c>
      <c r="P71" s="146" t="e">
        <f t="shared" si="11"/>
        <v>#VALUE!</v>
      </c>
      <c r="Q71" s="146" t="e">
        <f t="shared" si="12"/>
        <v>#VALUE!</v>
      </c>
      <c r="R71" s="146" t="e">
        <f t="shared" si="13"/>
        <v>#VALUE!</v>
      </c>
      <c r="S71" s="146" t="e">
        <f t="shared" si="14"/>
        <v>#VALUE!</v>
      </c>
      <c r="T71" s="146" t="e">
        <f t="shared" si="15"/>
        <v>#VALUE!</v>
      </c>
      <c r="U71" s="146" t="e">
        <f t="shared" si="16"/>
        <v>#VALUE!</v>
      </c>
      <c r="V71" s="146" t="e">
        <f t="shared" si="17"/>
        <v>#VALUE!</v>
      </c>
      <c r="W71" s="90">
        <f t="shared" si="18"/>
        <v>0</v>
      </c>
      <c r="X71" s="90" t="str">
        <f t="shared" si="19"/>
        <v>C</v>
      </c>
    </row>
    <row r="72" spans="1:24">
      <c r="A72" t="s">
        <v>1873</v>
      </c>
      <c r="B72" s="99">
        <v>6</v>
      </c>
      <c r="D72" s="90">
        <v>2</v>
      </c>
      <c r="E72" s="90">
        <v>5</v>
      </c>
      <c r="F72" s="90">
        <v>4</v>
      </c>
      <c r="G72" s="99">
        <v>3</v>
      </c>
      <c r="H72" s="99">
        <v>3</v>
      </c>
      <c r="I72" s="90">
        <v>3</v>
      </c>
      <c r="J72" s="90" t="s">
        <v>1000</v>
      </c>
      <c r="K72" s="90">
        <v>4</v>
      </c>
      <c r="L72" s="90" t="s">
        <v>1746</v>
      </c>
      <c r="M72" t="s">
        <v>899</v>
      </c>
      <c r="O72" s="146">
        <f t="shared" si="10"/>
        <v>15</v>
      </c>
      <c r="P72" s="146">
        <f t="shared" si="11"/>
        <v>6</v>
      </c>
      <c r="Q72" s="146">
        <f t="shared" si="12"/>
        <v>6</v>
      </c>
      <c r="R72" s="146">
        <f t="shared" si="13"/>
        <v>18</v>
      </c>
      <c r="S72" s="146">
        <f t="shared" si="14"/>
        <v>9</v>
      </c>
      <c r="T72" s="146">
        <f t="shared" si="15"/>
        <v>9</v>
      </c>
      <c r="U72" s="146" t="e">
        <f t="shared" si="16"/>
        <v>#VALUE!</v>
      </c>
      <c r="V72" s="146">
        <f t="shared" si="17"/>
        <v>12</v>
      </c>
      <c r="W72" s="90">
        <f t="shared" si="18"/>
        <v>0</v>
      </c>
      <c r="X72" s="90">
        <f t="shared" si="19"/>
        <v>3</v>
      </c>
    </row>
    <row r="73" spans="1:24">
      <c r="A73" t="s">
        <v>900</v>
      </c>
      <c r="B73" s="99">
        <v>3</v>
      </c>
      <c r="D73" s="90">
        <v>4</v>
      </c>
      <c r="E73" s="90">
        <v>3</v>
      </c>
      <c r="F73" s="90" t="s">
        <v>1668</v>
      </c>
      <c r="G73" s="147">
        <v>2</v>
      </c>
      <c r="H73" s="147">
        <v>4</v>
      </c>
      <c r="I73" s="90">
        <v>2</v>
      </c>
      <c r="J73" s="90">
        <v>6</v>
      </c>
      <c r="K73" s="90" t="s">
        <v>901</v>
      </c>
      <c r="L73" s="90" t="s">
        <v>1038</v>
      </c>
      <c r="M73" t="s">
        <v>1771</v>
      </c>
      <c r="O73" s="146">
        <f t="shared" si="10"/>
        <v>9</v>
      </c>
      <c r="P73" s="146">
        <f t="shared" si="11"/>
        <v>12</v>
      </c>
      <c r="Q73" s="146">
        <f t="shared" si="12"/>
        <v>12</v>
      </c>
      <c r="R73" s="146">
        <f t="shared" si="13"/>
        <v>9</v>
      </c>
      <c r="S73" s="146">
        <f t="shared" si="14"/>
        <v>6</v>
      </c>
      <c r="T73" s="146">
        <f t="shared" si="15"/>
        <v>6</v>
      </c>
      <c r="U73" s="146">
        <f t="shared" si="16"/>
        <v>18</v>
      </c>
      <c r="V73" s="146" t="e">
        <f t="shared" si="17"/>
        <v>#VALUE!</v>
      </c>
      <c r="W73" s="90">
        <f t="shared" si="18"/>
        <v>0</v>
      </c>
      <c r="X73" s="90">
        <f t="shared" si="19"/>
        <v>4</v>
      </c>
    </row>
    <row r="74" spans="1:24">
      <c r="A74" t="s">
        <v>1785</v>
      </c>
      <c r="B74" s="99">
        <v>2</v>
      </c>
      <c r="D74" s="90">
        <v>4</v>
      </c>
      <c r="E74" s="90">
        <v>3</v>
      </c>
      <c r="F74" s="90" t="s">
        <v>1668</v>
      </c>
      <c r="G74" s="147">
        <v>3</v>
      </c>
      <c r="H74" s="147">
        <v>4</v>
      </c>
      <c r="I74" s="90">
        <v>2</v>
      </c>
      <c r="J74" s="90">
        <v>6</v>
      </c>
      <c r="K74" s="90" t="s">
        <v>901</v>
      </c>
      <c r="L74" s="90" t="s">
        <v>1786</v>
      </c>
      <c r="M74" t="s">
        <v>1652</v>
      </c>
      <c r="O74" s="146">
        <f t="shared" si="10"/>
        <v>9</v>
      </c>
      <c r="P74" s="146">
        <f t="shared" si="11"/>
        <v>12</v>
      </c>
      <c r="Q74" s="146">
        <f t="shared" si="12"/>
        <v>12</v>
      </c>
      <c r="R74" s="146">
        <f t="shared" si="13"/>
        <v>6</v>
      </c>
      <c r="S74" s="146">
        <f t="shared" si="14"/>
        <v>9</v>
      </c>
      <c r="T74" s="146">
        <f t="shared" si="15"/>
        <v>6</v>
      </c>
      <c r="U74" s="146">
        <f t="shared" si="16"/>
        <v>18</v>
      </c>
      <c r="V74" s="146" t="e">
        <f t="shared" si="17"/>
        <v>#VALUE!</v>
      </c>
      <c r="W74" s="90">
        <f t="shared" si="18"/>
        <v>0</v>
      </c>
      <c r="X74" s="90">
        <f t="shared" si="19"/>
        <v>4</v>
      </c>
    </row>
    <row r="75" spans="1:24">
      <c r="A75" t="s">
        <v>1653</v>
      </c>
      <c r="B75" s="99">
        <v>8</v>
      </c>
      <c r="D75" s="90">
        <v>3</v>
      </c>
      <c r="E75" s="90">
        <v>7</v>
      </c>
      <c r="F75" s="90" t="s">
        <v>1668</v>
      </c>
      <c r="G75" s="147">
        <v>2</v>
      </c>
      <c r="H75" s="147">
        <v>4</v>
      </c>
      <c r="I75" s="90">
        <v>4</v>
      </c>
      <c r="J75" s="90">
        <v>-6</v>
      </c>
      <c r="K75" s="90" t="s">
        <v>1654</v>
      </c>
      <c r="L75" s="90" t="s">
        <v>1794</v>
      </c>
      <c r="M75" t="s">
        <v>1795</v>
      </c>
      <c r="O75" s="146">
        <f t="shared" si="10"/>
        <v>21</v>
      </c>
      <c r="P75" s="146">
        <f t="shared" si="11"/>
        <v>9</v>
      </c>
      <c r="Q75" s="146">
        <f t="shared" si="12"/>
        <v>9</v>
      </c>
      <c r="R75" s="146">
        <f t="shared" si="13"/>
        <v>24</v>
      </c>
      <c r="S75" s="146">
        <f t="shared" si="14"/>
        <v>6</v>
      </c>
      <c r="T75" s="146">
        <f t="shared" si="15"/>
        <v>12</v>
      </c>
      <c r="U75" s="146">
        <f t="shared" si="16"/>
        <v>-18</v>
      </c>
      <c r="V75" s="146" t="e">
        <f t="shared" si="17"/>
        <v>#VALUE!</v>
      </c>
      <c r="W75" s="90">
        <f t="shared" si="18"/>
        <v>0</v>
      </c>
      <c r="X75" s="90">
        <f t="shared" si="19"/>
        <v>4</v>
      </c>
    </row>
    <row r="76" spans="1:24">
      <c r="A76" t="s">
        <v>1881</v>
      </c>
      <c r="B76" s="99">
        <v>2</v>
      </c>
      <c r="D76" s="90">
        <v>4</v>
      </c>
      <c r="E76" s="90">
        <v>2</v>
      </c>
      <c r="F76" s="90">
        <v>4</v>
      </c>
      <c r="G76" s="147">
        <v>3</v>
      </c>
      <c r="H76" s="147">
        <v>5</v>
      </c>
      <c r="I76" s="90">
        <v>2</v>
      </c>
      <c r="J76" s="90">
        <v>6</v>
      </c>
      <c r="K76" s="90">
        <v>5</v>
      </c>
      <c r="L76" s="90" t="s">
        <v>1290</v>
      </c>
      <c r="M76" t="s">
        <v>1882</v>
      </c>
      <c r="O76" s="146">
        <f t="shared" si="10"/>
        <v>6</v>
      </c>
      <c r="P76" s="146">
        <f t="shared" si="11"/>
        <v>12</v>
      </c>
      <c r="Q76" s="146">
        <f t="shared" si="12"/>
        <v>12</v>
      </c>
      <c r="R76" s="146">
        <f t="shared" si="13"/>
        <v>6</v>
      </c>
      <c r="S76" s="146">
        <f t="shared" si="14"/>
        <v>9</v>
      </c>
      <c r="T76" s="146">
        <f t="shared" si="15"/>
        <v>6</v>
      </c>
      <c r="U76" s="146">
        <f t="shared" si="16"/>
        <v>18</v>
      </c>
      <c r="V76" s="146">
        <f t="shared" si="17"/>
        <v>12</v>
      </c>
      <c r="W76" s="90">
        <f t="shared" si="18"/>
        <v>0</v>
      </c>
      <c r="X76" s="90">
        <f t="shared" si="19"/>
        <v>5</v>
      </c>
    </row>
    <row r="77" spans="1:24">
      <c r="A77" t="s">
        <v>1883</v>
      </c>
      <c r="B77" s="147">
        <v>10</v>
      </c>
      <c r="C77" s="147">
        <v>4</v>
      </c>
      <c r="D77" s="90">
        <v>4</v>
      </c>
      <c r="E77" s="90">
        <v>25</v>
      </c>
      <c r="F77" s="90" t="s">
        <v>1668</v>
      </c>
      <c r="G77" s="147">
        <v>2</v>
      </c>
      <c r="H77" s="147">
        <v>2</v>
      </c>
      <c r="I77" s="90">
        <v>5</v>
      </c>
      <c r="J77" s="90">
        <v>6</v>
      </c>
      <c r="K77" s="90">
        <v>3</v>
      </c>
      <c r="L77" s="90" t="s">
        <v>1884</v>
      </c>
      <c r="M77" t="s">
        <v>1932</v>
      </c>
      <c r="O77" s="146">
        <f t="shared" si="10"/>
        <v>75</v>
      </c>
      <c r="P77" s="146">
        <f t="shared" si="11"/>
        <v>12</v>
      </c>
      <c r="Q77" s="146">
        <f t="shared" si="12"/>
        <v>12</v>
      </c>
      <c r="R77" s="146">
        <f t="shared" si="13"/>
        <v>30</v>
      </c>
      <c r="S77" s="146">
        <f t="shared" si="14"/>
        <v>6</v>
      </c>
      <c r="T77" s="146">
        <f t="shared" si="15"/>
        <v>15</v>
      </c>
      <c r="U77" s="146">
        <f t="shared" si="16"/>
        <v>18</v>
      </c>
      <c r="V77" s="146" t="e">
        <f t="shared" si="17"/>
        <v>#VALUE!</v>
      </c>
      <c r="W77" s="90">
        <f t="shared" si="18"/>
        <v>4</v>
      </c>
      <c r="X77" s="90">
        <f t="shared" si="19"/>
        <v>2</v>
      </c>
    </row>
    <row r="78" spans="1:24">
      <c r="A78" t="s">
        <v>1239</v>
      </c>
      <c r="B78" s="99">
        <v>2</v>
      </c>
      <c r="D78" s="90">
        <v>5</v>
      </c>
      <c r="E78" s="90">
        <v>1</v>
      </c>
      <c r="F78" s="90" t="s">
        <v>1668</v>
      </c>
      <c r="G78" s="147">
        <v>1</v>
      </c>
      <c r="H78" s="147">
        <v>5</v>
      </c>
      <c r="I78" s="90">
        <v>3</v>
      </c>
      <c r="J78" s="90">
        <v>6</v>
      </c>
      <c r="K78" s="90" t="s">
        <v>2039</v>
      </c>
      <c r="L78" s="90" t="s">
        <v>1290</v>
      </c>
      <c r="M78" t="s">
        <v>1451</v>
      </c>
      <c r="O78" s="146">
        <f t="shared" si="10"/>
        <v>3</v>
      </c>
      <c r="P78" s="146">
        <f t="shared" si="11"/>
        <v>15</v>
      </c>
      <c r="Q78" s="146">
        <f t="shared" si="12"/>
        <v>15</v>
      </c>
      <c r="R78" s="146">
        <f t="shared" si="13"/>
        <v>6</v>
      </c>
      <c r="S78" s="146">
        <f t="shared" si="14"/>
        <v>3</v>
      </c>
      <c r="T78" s="146">
        <f t="shared" si="15"/>
        <v>9</v>
      </c>
      <c r="U78" s="146">
        <f t="shared" si="16"/>
        <v>18</v>
      </c>
      <c r="V78" s="146" t="e">
        <f t="shared" si="17"/>
        <v>#VALUE!</v>
      </c>
      <c r="W78" s="90">
        <f t="shared" si="18"/>
        <v>0</v>
      </c>
      <c r="X78" s="90">
        <f t="shared" si="19"/>
        <v>5</v>
      </c>
    </row>
    <row r="79" spans="1:24">
      <c r="A79" t="s">
        <v>1452</v>
      </c>
      <c r="B79" s="99">
        <v>9</v>
      </c>
      <c r="D79" s="90">
        <v>4</v>
      </c>
      <c r="E79" s="90">
        <v>10</v>
      </c>
      <c r="F79" s="90" t="s">
        <v>1668</v>
      </c>
      <c r="G79" s="147">
        <v>2</v>
      </c>
      <c r="H79" s="147">
        <v>3</v>
      </c>
      <c r="I79" s="90">
        <v>4</v>
      </c>
      <c r="J79" s="90">
        <v>-5</v>
      </c>
      <c r="K79" s="90" t="s">
        <v>901</v>
      </c>
      <c r="L79" s="90" t="s">
        <v>1563</v>
      </c>
      <c r="M79" t="s">
        <v>1972</v>
      </c>
      <c r="O79" s="146">
        <f t="shared" si="10"/>
        <v>30</v>
      </c>
      <c r="P79" s="146">
        <f t="shared" si="11"/>
        <v>12</v>
      </c>
      <c r="Q79" s="146">
        <f t="shared" si="12"/>
        <v>12</v>
      </c>
      <c r="R79" s="146">
        <f t="shared" si="13"/>
        <v>27</v>
      </c>
      <c r="S79" s="146">
        <f t="shared" si="14"/>
        <v>6</v>
      </c>
      <c r="T79" s="146">
        <f t="shared" si="15"/>
        <v>12</v>
      </c>
      <c r="U79" s="146">
        <f t="shared" si="16"/>
        <v>-15</v>
      </c>
      <c r="V79" s="146" t="e">
        <f t="shared" si="17"/>
        <v>#VALUE!</v>
      </c>
      <c r="W79" s="90">
        <f t="shared" si="18"/>
        <v>0</v>
      </c>
      <c r="X79" s="90">
        <f t="shared" si="19"/>
        <v>3</v>
      </c>
    </row>
    <row r="80" spans="1:24">
      <c r="A80" t="s">
        <v>1973</v>
      </c>
      <c r="B80" s="99">
        <v>1</v>
      </c>
      <c r="D80" s="90">
        <v>5</v>
      </c>
      <c r="E80" s="90">
        <v>1</v>
      </c>
      <c r="F80" s="90" t="s">
        <v>1668</v>
      </c>
      <c r="G80" s="147">
        <v>1</v>
      </c>
      <c r="H80" s="147">
        <v>4</v>
      </c>
      <c r="I80" s="90">
        <v>2</v>
      </c>
      <c r="J80" s="90">
        <v>6</v>
      </c>
      <c r="K80" s="90">
        <v>5</v>
      </c>
      <c r="L80" s="90" t="s">
        <v>1669</v>
      </c>
      <c r="M80" t="s">
        <v>1879</v>
      </c>
      <c r="O80" s="146">
        <f t="shared" si="10"/>
        <v>3</v>
      </c>
      <c r="P80" s="146">
        <f t="shared" si="11"/>
        <v>15</v>
      </c>
      <c r="Q80" s="146">
        <f t="shared" si="12"/>
        <v>15</v>
      </c>
      <c r="R80" s="146">
        <f t="shared" si="13"/>
        <v>3</v>
      </c>
      <c r="S80" s="146">
        <f t="shared" si="14"/>
        <v>3</v>
      </c>
      <c r="T80" s="146">
        <f t="shared" si="15"/>
        <v>6</v>
      </c>
      <c r="U80" s="146">
        <f t="shared" si="16"/>
        <v>18</v>
      </c>
      <c r="V80" s="146" t="e">
        <f t="shared" si="17"/>
        <v>#VALUE!</v>
      </c>
      <c r="W80" s="90">
        <f t="shared" si="18"/>
        <v>0</v>
      </c>
      <c r="X80" s="90">
        <f t="shared" si="19"/>
        <v>4</v>
      </c>
    </row>
    <row r="81" spans="1:24">
      <c r="A81" t="s">
        <v>1880</v>
      </c>
      <c r="B81" s="99">
        <v>3</v>
      </c>
      <c r="D81" s="90">
        <v>5</v>
      </c>
      <c r="E81" s="90">
        <v>4</v>
      </c>
      <c r="F81" s="90" t="s">
        <v>1668</v>
      </c>
      <c r="G81" s="147">
        <v>2</v>
      </c>
      <c r="H81" s="147">
        <v>4</v>
      </c>
      <c r="I81" s="90">
        <v>3</v>
      </c>
      <c r="J81" s="90">
        <v>-6</v>
      </c>
      <c r="K81" s="90">
        <v>4</v>
      </c>
      <c r="L81" s="90" t="s">
        <v>1038</v>
      </c>
      <c r="M81" t="s">
        <v>2211</v>
      </c>
      <c r="O81" s="146">
        <f t="shared" si="10"/>
        <v>12</v>
      </c>
      <c r="P81" s="146">
        <f t="shared" si="11"/>
        <v>15</v>
      </c>
      <c r="Q81" s="146">
        <f t="shared" si="12"/>
        <v>15</v>
      </c>
      <c r="R81" s="146">
        <f t="shared" si="13"/>
        <v>9</v>
      </c>
      <c r="S81" s="146">
        <f t="shared" si="14"/>
        <v>6</v>
      </c>
      <c r="T81" s="146">
        <f t="shared" si="15"/>
        <v>9</v>
      </c>
      <c r="U81" s="146">
        <f t="shared" si="16"/>
        <v>-18</v>
      </c>
      <c r="V81" s="146" t="e">
        <f t="shared" si="17"/>
        <v>#VALUE!</v>
      </c>
      <c r="W81" s="90">
        <f t="shared" si="18"/>
        <v>0</v>
      </c>
      <c r="X81" s="90">
        <f t="shared" si="19"/>
        <v>4</v>
      </c>
    </row>
    <row r="82" spans="1:24">
      <c r="A82" t="s">
        <v>1887</v>
      </c>
      <c r="B82" s="99">
        <v>1</v>
      </c>
      <c r="D82" s="90">
        <v>4</v>
      </c>
      <c r="E82" s="90">
        <v>1</v>
      </c>
      <c r="F82" s="90" t="s">
        <v>1668</v>
      </c>
      <c r="G82" s="147">
        <v>2</v>
      </c>
      <c r="H82" s="147">
        <v>3</v>
      </c>
      <c r="I82" s="90">
        <v>2</v>
      </c>
      <c r="J82" s="90">
        <v>6</v>
      </c>
      <c r="K82" s="90">
        <v>4</v>
      </c>
      <c r="L82" s="90" t="s">
        <v>1669</v>
      </c>
      <c r="O82" s="146">
        <f t="shared" si="10"/>
        <v>3</v>
      </c>
      <c r="P82" s="146">
        <f t="shared" si="11"/>
        <v>12</v>
      </c>
      <c r="Q82" s="146">
        <f t="shared" si="12"/>
        <v>12</v>
      </c>
      <c r="R82" s="146">
        <f t="shared" si="13"/>
        <v>3</v>
      </c>
      <c r="S82" s="146">
        <f t="shared" si="14"/>
        <v>6</v>
      </c>
      <c r="T82" s="146">
        <f t="shared" si="15"/>
        <v>6</v>
      </c>
      <c r="U82" s="146">
        <f t="shared" si="16"/>
        <v>18</v>
      </c>
      <c r="V82" s="146" t="e">
        <f t="shared" si="17"/>
        <v>#VALUE!</v>
      </c>
      <c r="W82" s="90">
        <f t="shared" si="18"/>
        <v>0</v>
      </c>
      <c r="X82" s="90">
        <f t="shared" si="19"/>
        <v>3</v>
      </c>
    </row>
    <row r="83" spans="1:24">
      <c r="A83" t="s">
        <v>2040</v>
      </c>
      <c r="B83" s="99">
        <v>2</v>
      </c>
      <c r="D83" s="90">
        <v>3</v>
      </c>
      <c r="E83" s="90">
        <v>2</v>
      </c>
      <c r="F83" s="90" t="s">
        <v>1668</v>
      </c>
      <c r="G83" s="147">
        <v>2</v>
      </c>
      <c r="H83" s="147">
        <v>3</v>
      </c>
      <c r="I83" s="90">
        <v>2</v>
      </c>
      <c r="J83" s="90">
        <v>6</v>
      </c>
      <c r="K83" s="90">
        <v>4</v>
      </c>
      <c r="L83" s="90" t="s">
        <v>2041</v>
      </c>
      <c r="M83" t="s">
        <v>1392</v>
      </c>
      <c r="O83" s="146">
        <f t="shared" si="10"/>
        <v>6</v>
      </c>
      <c r="P83" s="146">
        <f t="shared" si="11"/>
        <v>9</v>
      </c>
      <c r="Q83" s="146">
        <f t="shared" si="12"/>
        <v>9</v>
      </c>
      <c r="R83" s="146">
        <f t="shared" si="13"/>
        <v>6</v>
      </c>
      <c r="S83" s="146">
        <f t="shared" si="14"/>
        <v>6</v>
      </c>
      <c r="T83" s="146">
        <f t="shared" si="15"/>
        <v>6</v>
      </c>
      <c r="U83" s="146">
        <f t="shared" si="16"/>
        <v>18</v>
      </c>
      <c r="V83" s="146" t="e">
        <f t="shared" si="17"/>
        <v>#VALUE!</v>
      </c>
      <c r="W83" s="90">
        <f t="shared" si="18"/>
        <v>0</v>
      </c>
      <c r="X83" s="90">
        <f t="shared" si="19"/>
        <v>3</v>
      </c>
    </row>
    <row r="84" spans="1:24">
      <c r="A84" t="s">
        <v>1407</v>
      </c>
      <c r="B84" s="99">
        <v>2</v>
      </c>
      <c r="D84" s="90">
        <v>4</v>
      </c>
      <c r="E84" s="90">
        <v>2</v>
      </c>
      <c r="F84" s="90" t="s">
        <v>1668</v>
      </c>
      <c r="G84" s="147">
        <v>2</v>
      </c>
      <c r="H84" s="147">
        <v>4</v>
      </c>
      <c r="I84" s="90">
        <v>2</v>
      </c>
      <c r="J84" s="90">
        <v>-6</v>
      </c>
      <c r="K84" s="90">
        <v>5</v>
      </c>
      <c r="L84" s="90" t="s">
        <v>1408</v>
      </c>
      <c r="M84" t="s">
        <v>1679</v>
      </c>
      <c r="O84" s="146">
        <f t="shared" si="10"/>
        <v>6</v>
      </c>
      <c r="P84" s="146">
        <f t="shared" si="11"/>
        <v>12</v>
      </c>
      <c r="Q84" s="146">
        <f t="shared" si="12"/>
        <v>12</v>
      </c>
      <c r="R84" s="146">
        <f t="shared" si="13"/>
        <v>6</v>
      </c>
      <c r="S84" s="146">
        <f t="shared" si="14"/>
        <v>6</v>
      </c>
      <c r="T84" s="146">
        <f t="shared" si="15"/>
        <v>6</v>
      </c>
      <c r="U84" s="146">
        <f t="shared" si="16"/>
        <v>-18</v>
      </c>
      <c r="V84" s="146" t="e">
        <f t="shared" si="17"/>
        <v>#VALUE!</v>
      </c>
      <c r="W84" s="90">
        <f t="shared" si="18"/>
        <v>0</v>
      </c>
      <c r="X84" s="90">
        <f t="shared" si="19"/>
        <v>4</v>
      </c>
    </row>
    <row r="85" spans="1:24">
      <c r="A85" t="s">
        <v>1821</v>
      </c>
      <c r="B85" s="147">
        <v>5</v>
      </c>
      <c r="C85" s="147">
        <v>4</v>
      </c>
      <c r="E85" s="90">
        <v>4</v>
      </c>
      <c r="F85" s="90" t="s">
        <v>1668</v>
      </c>
      <c r="G85" s="147">
        <v>1</v>
      </c>
      <c r="H85" s="147">
        <v>3</v>
      </c>
      <c r="I85" s="90">
        <v>4</v>
      </c>
      <c r="J85" s="90">
        <v>-5</v>
      </c>
      <c r="K85" s="90">
        <v>2</v>
      </c>
      <c r="L85" s="90" t="s">
        <v>1174</v>
      </c>
      <c r="M85" t="s">
        <v>1615</v>
      </c>
      <c r="O85" s="146">
        <f t="shared" si="10"/>
        <v>12</v>
      </c>
      <c r="P85" s="146">
        <f t="shared" si="11"/>
        <v>0</v>
      </c>
      <c r="Q85" s="146">
        <f t="shared" si="12"/>
        <v>0</v>
      </c>
      <c r="R85" s="146">
        <f t="shared" si="13"/>
        <v>15</v>
      </c>
      <c r="S85" s="146">
        <f t="shared" si="14"/>
        <v>3</v>
      </c>
      <c r="T85" s="146">
        <f t="shared" si="15"/>
        <v>12</v>
      </c>
      <c r="U85" s="146">
        <f t="shared" si="16"/>
        <v>-15</v>
      </c>
      <c r="V85" s="146" t="e">
        <f t="shared" si="17"/>
        <v>#VALUE!</v>
      </c>
      <c r="W85" s="90">
        <f t="shared" si="18"/>
        <v>4</v>
      </c>
      <c r="X85" s="90">
        <f t="shared" si="19"/>
        <v>3</v>
      </c>
    </row>
    <row r="86" spans="1:24">
      <c r="A86" t="s">
        <v>1731</v>
      </c>
      <c r="B86" s="99">
        <v>5</v>
      </c>
      <c r="D86" s="90">
        <v>10</v>
      </c>
      <c r="E86" s="90" t="s">
        <v>1668</v>
      </c>
      <c r="F86" s="90" t="s">
        <v>1668</v>
      </c>
      <c r="G86" s="99">
        <v>2</v>
      </c>
      <c r="H86" s="99">
        <v>2</v>
      </c>
      <c r="I86" s="90">
        <v>5</v>
      </c>
      <c r="J86" s="90" t="s">
        <v>2108</v>
      </c>
      <c r="K86" s="90" t="s">
        <v>2039</v>
      </c>
      <c r="L86" s="90" t="s">
        <v>2111</v>
      </c>
      <c r="M86" t="s">
        <v>1131</v>
      </c>
      <c r="O86" s="146" t="e">
        <f t="shared" si="10"/>
        <v>#VALUE!</v>
      </c>
      <c r="P86" s="146">
        <f t="shared" si="11"/>
        <v>30</v>
      </c>
      <c r="Q86" s="146">
        <f t="shared" si="12"/>
        <v>30</v>
      </c>
      <c r="R86" s="146">
        <f t="shared" si="13"/>
        <v>15</v>
      </c>
      <c r="S86" s="146">
        <f t="shared" si="14"/>
        <v>6</v>
      </c>
      <c r="T86" s="146">
        <f t="shared" si="15"/>
        <v>15</v>
      </c>
      <c r="U86" s="146" t="e">
        <f t="shared" si="16"/>
        <v>#VALUE!</v>
      </c>
      <c r="V86" s="146" t="e">
        <f t="shared" si="17"/>
        <v>#VALUE!</v>
      </c>
      <c r="W86" s="90">
        <f t="shared" si="18"/>
        <v>0</v>
      </c>
      <c r="X86" s="90">
        <f t="shared" si="19"/>
        <v>2</v>
      </c>
    </row>
    <row r="87" spans="1:24">
      <c r="A87" t="s">
        <v>1132</v>
      </c>
      <c r="B87" s="99">
        <v>3</v>
      </c>
      <c r="D87" s="90">
        <v>3</v>
      </c>
      <c r="E87" s="90">
        <v>3</v>
      </c>
      <c r="F87" s="90" t="s">
        <v>1668</v>
      </c>
      <c r="G87" s="147">
        <v>1</v>
      </c>
      <c r="H87" s="147">
        <v>5</v>
      </c>
      <c r="I87" s="90">
        <v>2</v>
      </c>
      <c r="J87" s="90">
        <v>6</v>
      </c>
      <c r="K87" s="90" t="s">
        <v>1031</v>
      </c>
      <c r="L87" s="90" t="s">
        <v>2041</v>
      </c>
      <c r="M87" t="s">
        <v>1198</v>
      </c>
      <c r="O87" s="146">
        <f t="shared" si="10"/>
        <v>9</v>
      </c>
      <c r="P87" s="146">
        <f t="shared" si="11"/>
        <v>9</v>
      </c>
      <c r="Q87" s="146">
        <f t="shared" si="12"/>
        <v>9</v>
      </c>
      <c r="R87" s="146">
        <f t="shared" si="13"/>
        <v>9</v>
      </c>
      <c r="S87" s="146">
        <f t="shared" si="14"/>
        <v>3</v>
      </c>
      <c r="T87" s="146">
        <f t="shared" si="15"/>
        <v>6</v>
      </c>
      <c r="U87" s="146">
        <f t="shared" si="16"/>
        <v>18</v>
      </c>
      <c r="V87" s="146" t="e">
        <f t="shared" si="17"/>
        <v>#VALUE!</v>
      </c>
      <c r="W87" s="90">
        <f t="shared" si="18"/>
        <v>0</v>
      </c>
      <c r="X87" s="90">
        <f t="shared" si="19"/>
        <v>5</v>
      </c>
    </row>
    <row r="88" spans="1:24">
      <c r="A88" t="s">
        <v>1202</v>
      </c>
      <c r="B88" s="147">
        <v>5</v>
      </c>
      <c r="C88" s="147">
        <v>3</v>
      </c>
      <c r="D88" s="90">
        <v>3</v>
      </c>
      <c r="E88" s="90">
        <v>5</v>
      </c>
      <c r="F88" s="90" t="s">
        <v>1668</v>
      </c>
      <c r="G88" s="147">
        <v>1</v>
      </c>
      <c r="H88" s="147">
        <v>3</v>
      </c>
      <c r="I88" s="90">
        <v>4</v>
      </c>
      <c r="J88" s="90">
        <v>6</v>
      </c>
      <c r="K88" s="90" t="s">
        <v>1654</v>
      </c>
      <c r="L88" s="90" t="s">
        <v>1563</v>
      </c>
      <c r="O88" s="146">
        <f t="shared" si="10"/>
        <v>15</v>
      </c>
      <c r="P88" s="146">
        <f t="shared" si="11"/>
        <v>9</v>
      </c>
      <c r="Q88" s="146">
        <f t="shared" si="12"/>
        <v>9</v>
      </c>
      <c r="R88" s="146">
        <f t="shared" si="13"/>
        <v>15</v>
      </c>
      <c r="S88" s="146">
        <f t="shared" si="14"/>
        <v>3</v>
      </c>
      <c r="T88" s="146">
        <f t="shared" si="15"/>
        <v>12</v>
      </c>
      <c r="U88" s="146">
        <f t="shared" si="16"/>
        <v>18</v>
      </c>
      <c r="V88" s="146" t="e">
        <f t="shared" si="17"/>
        <v>#VALUE!</v>
      </c>
      <c r="W88" s="90">
        <f t="shared" si="18"/>
        <v>3</v>
      </c>
      <c r="X88" s="90">
        <f t="shared" si="19"/>
        <v>3</v>
      </c>
    </row>
    <row r="89" spans="1:24">
      <c r="A89" t="s">
        <v>1358</v>
      </c>
      <c r="B89" s="99">
        <v>2</v>
      </c>
      <c r="D89" s="90">
        <v>5</v>
      </c>
      <c r="E89" s="90">
        <v>1</v>
      </c>
      <c r="F89" s="90">
        <v>5</v>
      </c>
      <c r="G89" s="147">
        <v>2</v>
      </c>
      <c r="H89" s="147">
        <v>5</v>
      </c>
      <c r="I89" s="90">
        <v>3</v>
      </c>
      <c r="J89" s="90">
        <v>-4</v>
      </c>
      <c r="K89" s="90">
        <v>5</v>
      </c>
      <c r="L89" s="90" t="s">
        <v>1359</v>
      </c>
      <c r="M89" t="s">
        <v>1621</v>
      </c>
      <c r="O89" s="146">
        <f t="shared" si="10"/>
        <v>3</v>
      </c>
      <c r="P89" s="146">
        <f t="shared" si="11"/>
        <v>15</v>
      </c>
      <c r="Q89" s="146">
        <f t="shared" si="12"/>
        <v>15</v>
      </c>
      <c r="R89" s="146">
        <f t="shared" si="13"/>
        <v>6</v>
      </c>
      <c r="S89" s="146">
        <f t="shared" si="14"/>
        <v>6</v>
      </c>
      <c r="T89" s="146">
        <f t="shared" si="15"/>
        <v>9</v>
      </c>
      <c r="U89" s="146">
        <f t="shared" si="16"/>
        <v>-12</v>
      </c>
      <c r="V89" s="146">
        <f t="shared" si="17"/>
        <v>15</v>
      </c>
      <c r="W89" s="90">
        <f t="shared" si="18"/>
        <v>0</v>
      </c>
      <c r="X89" s="90">
        <f t="shared" si="19"/>
        <v>5</v>
      </c>
    </row>
    <row r="90" spans="1:24">
      <c r="A90" t="s">
        <v>1622</v>
      </c>
      <c r="B90" s="99">
        <v>9</v>
      </c>
      <c r="D90" s="90">
        <v>3</v>
      </c>
      <c r="E90" s="90">
        <v>10</v>
      </c>
      <c r="F90" s="90" t="s">
        <v>1668</v>
      </c>
      <c r="G90" s="147">
        <v>2</v>
      </c>
      <c r="H90" s="147">
        <v>3</v>
      </c>
      <c r="I90" s="90">
        <v>4</v>
      </c>
      <c r="J90" s="90">
        <v>-6</v>
      </c>
      <c r="K90" s="90">
        <v>4</v>
      </c>
      <c r="L90" s="90" t="s">
        <v>1623</v>
      </c>
      <c r="M90" t="s">
        <v>1891</v>
      </c>
      <c r="O90" s="146">
        <f t="shared" si="10"/>
        <v>30</v>
      </c>
      <c r="P90" s="146">
        <f t="shared" si="11"/>
        <v>9</v>
      </c>
      <c r="Q90" s="146">
        <f t="shared" si="12"/>
        <v>9</v>
      </c>
      <c r="R90" s="146">
        <f t="shared" si="13"/>
        <v>27</v>
      </c>
      <c r="S90" s="146">
        <f t="shared" si="14"/>
        <v>6</v>
      </c>
      <c r="T90" s="146">
        <f t="shared" si="15"/>
        <v>12</v>
      </c>
      <c r="U90" s="146">
        <f t="shared" si="16"/>
        <v>-18</v>
      </c>
      <c r="V90" s="146" t="e">
        <f t="shared" si="17"/>
        <v>#VALUE!</v>
      </c>
      <c r="W90" s="90">
        <f t="shared" si="18"/>
        <v>0</v>
      </c>
      <c r="X90" s="90">
        <f t="shared" si="19"/>
        <v>3</v>
      </c>
    </row>
    <row r="91" spans="1:24">
      <c r="A91" t="s">
        <v>1743</v>
      </c>
      <c r="B91" s="99">
        <v>5</v>
      </c>
      <c r="D91" s="90">
        <v>4</v>
      </c>
      <c r="E91" s="90">
        <v>5</v>
      </c>
      <c r="F91" s="90">
        <v>3</v>
      </c>
      <c r="G91" s="147">
        <v>2</v>
      </c>
      <c r="H91" s="147">
        <v>4</v>
      </c>
      <c r="I91" s="90">
        <v>3</v>
      </c>
      <c r="J91" s="90">
        <v>5</v>
      </c>
      <c r="K91" s="90">
        <v>5</v>
      </c>
      <c r="L91" s="90" t="s">
        <v>1744</v>
      </c>
      <c r="M91" t="s">
        <v>2060</v>
      </c>
      <c r="O91" s="146">
        <f t="shared" si="10"/>
        <v>15</v>
      </c>
      <c r="P91" s="146">
        <f t="shared" si="11"/>
        <v>12</v>
      </c>
      <c r="Q91" s="146">
        <f t="shared" si="12"/>
        <v>12</v>
      </c>
      <c r="R91" s="146">
        <f t="shared" si="13"/>
        <v>15</v>
      </c>
      <c r="S91" s="146">
        <f t="shared" si="14"/>
        <v>6</v>
      </c>
      <c r="T91" s="146">
        <f t="shared" si="15"/>
        <v>9</v>
      </c>
      <c r="U91" s="146">
        <f t="shared" si="16"/>
        <v>15</v>
      </c>
      <c r="V91" s="146">
        <f t="shared" si="17"/>
        <v>9</v>
      </c>
      <c r="W91" s="90">
        <f t="shared" si="18"/>
        <v>0</v>
      </c>
      <c r="X91" s="90">
        <f t="shared" si="19"/>
        <v>4</v>
      </c>
    </row>
    <row r="92" spans="1:24">
      <c r="A92" t="s">
        <v>2061</v>
      </c>
      <c r="B92" s="147">
        <v>9</v>
      </c>
      <c r="C92" s="147">
        <v>4</v>
      </c>
      <c r="D92" s="90">
        <v>5</v>
      </c>
      <c r="E92" s="90">
        <v>10</v>
      </c>
      <c r="F92" s="90">
        <v>1</v>
      </c>
      <c r="G92" s="147">
        <v>3</v>
      </c>
      <c r="H92" s="147">
        <v>3</v>
      </c>
      <c r="I92" s="90">
        <v>4</v>
      </c>
      <c r="J92" s="90">
        <v>-5</v>
      </c>
      <c r="K92" s="90">
        <v>4</v>
      </c>
      <c r="L92" s="90" t="s">
        <v>1822</v>
      </c>
      <c r="M92" t="s">
        <v>1474</v>
      </c>
      <c r="O92" s="146">
        <f t="shared" si="10"/>
        <v>30</v>
      </c>
      <c r="P92" s="146">
        <f t="shared" si="11"/>
        <v>15</v>
      </c>
      <c r="Q92" s="146">
        <f t="shared" si="12"/>
        <v>15</v>
      </c>
      <c r="R92" s="146">
        <f t="shared" si="13"/>
        <v>27</v>
      </c>
      <c r="S92" s="146">
        <f t="shared" si="14"/>
        <v>9</v>
      </c>
      <c r="T92" s="146">
        <f t="shared" si="15"/>
        <v>12</v>
      </c>
      <c r="U92" s="146">
        <f t="shared" si="16"/>
        <v>-15</v>
      </c>
      <c r="V92" s="146">
        <f t="shared" si="17"/>
        <v>3</v>
      </c>
      <c r="W92" s="90">
        <f t="shared" si="18"/>
        <v>4</v>
      </c>
      <c r="X92" s="90">
        <f t="shared" si="19"/>
        <v>3</v>
      </c>
    </row>
    <row r="93" spans="1:24">
      <c r="A93" t="s">
        <v>1475</v>
      </c>
      <c r="B93" s="99">
        <v>8</v>
      </c>
      <c r="D93" s="90">
        <v>4</v>
      </c>
      <c r="E93" s="90">
        <v>8</v>
      </c>
      <c r="F93" s="90" t="s">
        <v>1668</v>
      </c>
      <c r="G93" s="147">
        <v>2</v>
      </c>
      <c r="H93" s="147">
        <v>3</v>
      </c>
      <c r="I93" s="90">
        <v>3</v>
      </c>
      <c r="J93" s="90">
        <v>-6</v>
      </c>
      <c r="K93" s="90">
        <v>5</v>
      </c>
      <c r="L93" s="90" t="s">
        <v>1822</v>
      </c>
      <c r="M93" t="s">
        <v>1649</v>
      </c>
      <c r="O93" s="146">
        <f t="shared" si="10"/>
        <v>24</v>
      </c>
      <c r="P93" s="146">
        <f t="shared" si="11"/>
        <v>12</v>
      </c>
      <c r="Q93" s="146">
        <f t="shared" si="12"/>
        <v>12</v>
      </c>
      <c r="R93" s="146">
        <f t="shared" si="13"/>
        <v>24</v>
      </c>
      <c r="S93" s="146">
        <f t="shared" si="14"/>
        <v>6</v>
      </c>
      <c r="T93" s="146">
        <f t="shared" si="15"/>
        <v>9</v>
      </c>
      <c r="U93" s="146">
        <f t="shared" si="16"/>
        <v>-18</v>
      </c>
      <c r="V93" s="146" t="e">
        <f t="shared" si="17"/>
        <v>#VALUE!</v>
      </c>
      <c r="W93" s="90">
        <f t="shared" si="18"/>
        <v>0</v>
      </c>
      <c r="X93" s="90">
        <f t="shared" si="19"/>
        <v>3</v>
      </c>
    </row>
    <row r="94" spans="1:24">
      <c r="A94" t="s">
        <v>1650</v>
      </c>
      <c r="B94" s="99">
        <v>4</v>
      </c>
      <c r="D94" s="90">
        <v>3</v>
      </c>
      <c r="E94" s="90">
        <v>3</v>
      </c>
      <c r="F94" s="90" t="s">
        <v>1668</v>
      </c>
      <c r="G94" s="147">
        <v>1</v>
      </c>
      <c r="H94" s="147">
        <v>3</v>
      </c>
      <c r="I94" s="90">
        <v>2</v>
      </c>
      <c r="J94" s="90">
        <v>4</v>
      </c>
      <c r="K94" s="90">
        <v>4</v>
      </c>
      <c r="L94" s="90" t="s">
        <v>1366</v>
      </c>
      <c r="M94" t="s">
        <v>1645</v>
      </c>
      <c r="O94" s="146">
        <f t="shared" si="10"/>
        <v>9</v>
      </c>
      <c r="P94" s="146">
        <f t="shared" si="11"/>
        <v>9</v>
      </c>
      <c r="Q94" s="146">
        <f t="shared" si="12"/>
        <v>9</v>
      </c>
      <c r="R94" s="146">
        <f t="shared" si="13"/>
        <v>12</v>
      </c>
      <c r="S94" s="146">
        <f t="shared" si="14"/>
        <v>3</v>
      </c>
      <c r="T94" s="146">
        <f t="shared" si="15"/>
        <v>6</v>
      </c>
      <c r="U94" s="146">
        <f t="shared" si="16"/>
        <v>12</v>
      </c>
      <c r="V94" s="146" t="e">
        <f t="shared" si="17"/>
        <v>#VALUE!</v>
      </c>
      <c r="W94" s="90">
        <f t="shared" si="18"/>
        <v>0</v>
      </c>
      <c r="X94" s="90">
        <f t="shared" si="19"/>
        <v>3</v>
      </c>
    </row>
    <row r="95" spans="1:24">
      <c r="A95" t="s">
        <v>1646</v>
      </c>
      <c r="B95" s="99">
        <v>2</v>
      </c>
      <c r="D95" s="90">
        <v>5</v>
      </c>
      <c r="E95" s="90">
        <v>2</v>
      </c>
      <c r="F95" s="90" t="s">
        <v>1668</v>
      </c>
      <c r="G95" s="147">
        <v>2</v>
      </c>
      <c r="H95" s="147">
        <v>3</v>
      </c>
      <c r="I95" s="90">
        <v>3</v>
      </c>
      <c r="J95" s="90">
        <v>-6</v>
      </c>
      <c r="K95" s="90" t="s">
        <v>901</v>
      </c>
      <c r="L95" s="90" t="s">
        <v>1647</v>
      </c>
      <c r="M95" t="s">
        <v>1648</v>
      </c>
      <c r="O95" s="146">
        <f t="shared" si="10"/>
        <v>6</v>
      </c>
      <c r="P95" s="146">
        <f t="shared" si="11"/>
        <v>15</v>
      </c>
      <c r="Q95" s="146">
        <f t="shared" si="12"/>
        <v>15</v>
      </c>
      <c r="R95" s="146">
        <f t="shared" si="13"/>
        <v>6</v>
      </c>
      <c r="S95" s="146">
        <f t="shared" si="14"/>
        <v>6</v>
      </c>
      <c r="T95" s="146">
        <f t="shared" si="15"/>
        <v>9</v>
      </c>
      <c r="U95" s="146">
        <f t="shared" si="16"/>
        <v>-18</v>
      </c>
      <c r="V95" s="146" t="e">
        <f t="shared" si="17"/>
        <v>#VALUE!</v>
      </c>
      <c r="W95" s="90">
        <f t="shared" si="18"/>
        <v>0</v>
      </c>
      <c r="X95" s="90">
        <f t="shared" si="19"/>
        <v>3</v>
      </c>
    </row>
    <row r="96" spans="1:24">
      <c r="A96" t="s">
        <v>1499</v>
      </c>
      <c r="B96" s="99">
        <v>4</v>
      </c>
      <c r="D96" s="90">
        <v>4</v>
      </c>
      <c r="E96" s="90">
        <v>4</v>
      </c>
      <c r="F96" s="90" t="s">
        <v>1668</v>
      </c>
      <c r="G96" s="147">
        <v>2</v>
      </c>
      <c r="H96" s="147">
        <v>4</v>
      </c>
      <c r="I96" s="90">
        <v>3</v>
      </c>
      <c r="J96" s="90">
        <v>-6</v>
      </c>
      <c r="K96" s="90">
        <v>5</v>
      </c>
      <c r="L96" s="90" t="s">
        <v>1500</v>
      </c>
      <c r="M96" t="s">
        <v>1199</v>
      </c>
      <c r="O96" s="146">
        <f t="shared" si="10"/>
        <v>12</v>
      </c>
      <c r="P96" s="146">
        <f t="shared" si="11"/>
        <v>12</v>
      </c>
      <c r="Q96" s="146">
        <f t="shared" si="12"/>
        <v>12</v>
      </c>
      <c r="R96" s="146">
        <f t="shared" si="13"/>
        <v>12</v>
      </c>
      <c r="S96" s="146">
        <f t="shared" si="14"/>
        <v>6</v>
      </c>
      <c r="T96" s="146">
        <f t="shared" si="15"/>
        <v>9</v>
      </c>
      <c r="U96" s="146">
        <f t="shared" si="16"/>
        <v>-18</v>
      </c>
      <c r="V96" s="146" t="e">
        <f t="shared" si="17"/>
        <v>#VALUE!</v>
      </c>
      <c r="W96" s="90">
        <f t="shared" si="18"/>
        <v>0</v>
      </c>
      <c r="X96" s="90">
        <f t="shared" si="19"/>
        <v>4</v>
      </c>
    </row>
    <row r="97" spans="1:24">
      <c r="A97" t="s">
        <v>1894</v>
      </c>
      <c r="B97" s="99">
        <v>3</v>
      </c>
      <c r="D97" s="90">
        <v>4</v>
      </c>
      <c r="E97" s="90">
        <v>3</v>
      </c>
      <c r="F97" s="90" t="s">
        <v>1668</v>
      </c>
      <c r="G97" s="147">
        <v>2</v>
      </c>
      <c r="H97" s="147">
        <v>3</v>
      </c>
      <c r="I97" s="90">
        <v>4</v>
      </c>
      <c r="J97" s="90">
        <v>-5</v>
      </c>
      <c r="K97" s="90" t="s">
        <v>901</v>
      </c>
      <c r="L97" s="90" t="s">
        <v>1895</v>
      </c>
      <c r="M97" t="s">
        <v>1527</v>
      </c>
      <c r="O97" s="146">
        <f t="shared" si="10"/>
        <v>9</v>
      </c>
      <c r="P97" s="146">
        <f t="shared" si="11"/>
        <v>12</v>
      </c>
      <c r="Q97" s="146">
        <f t="shared" si="12"/>
        <v>12</v>
      </c>
      <c r="R97" s="146">
        <f t="shared" si="13"/>
        <v>9</v>
      </c>
      <c r="S97" s="146">
        <f t="shared" si="14"/>
        <v>6</v>
      </c>
      <c r="T97" s="146">
        <f t="shared" si="15"/>
        <v>12</v>
      </c>
      <c r="U97" s="146">
        <f t="shared" si="16"/>
        <v>-15</v>
      </c>
      <c r="V97" s="146" t="e">
        <f t="shared" si="17"/>
        <v>#VALUE!</v>
      </c>
      <c r="W97" s="90">
        <f t="shared" si="18"/>
        <v>0</v>
      </c>
      <c r="X97" s="90">
        <f t="shared" si="19"/>
        <v>3</v>
      </c>
    </row>
    <row r="98" spans="1:24">
      <c r="A98" t="s">
        <v>1528</v>
      </c>
      <c r="B98" s="147">
        <v>10</v>
      </c>
      <c r="C98" s="147">
        <v>3</v>
      </c>
      <c r="D98" s="90">
        <v>4</v>
      </c>
      <c r="E98" s="90">
        <v>8</v>
      </c>
      <c r="F98" s="90" t="s">
        <v>1668</v>
      </c>
      <c r="G98" s="147">
        <v>2</v>
      </c>
      <c r="H98" s="147">
        <v>4</v>
      </c>
      <c r="I98" s="90">
        <v>4</v>
      </c>
      <c r="J98" s="90">
        <v>-5</v>
      </c>
      <c r="K98" s="90" t="s">
        <v>1559</v>
      </c>
      <c r="L98" s="90" t="s">
        <v>1529</v>
      </c>
      <c r="M98" t="s">
        <v>1134</v>
      </c>
      <c r="O98" s="146">
        <f t="shared" si="10"/>
        <v>24</v>
      </c>
      <c r="P98" s="146">
        <f t="shared" si="11"/>
        <v>12</v>
      </c>
      <c r="Q98" s="146">
        <f t="shared" si="12"/>
        <v>12</v>
      </c>
      <c r="R98" s="146">
        <f t="shared" si="13"/>
        <v>30</v>
      </c>
      <c r="S98" s="146">
        <f t="shared" si="14"/>
        <v>6</v>
      </c>
      <c r="T98" s="146">
        <f t="shared" si="15"/>
        <v>12</v>
      </c>
      <c r="U98" s="146">
        <f t="shared" si="16"/>
        <v>-15</v>
      </c>
      <c r="V98" s="146" t="e">
        <f t="shared" si="17"/>
        <v>#VALUE!</v>
      </c>
      <c r="W98" s="90">
        <f t="shared" si="18"/>
        <v>3</v>
      </c>
      <c r="X98" s="90">
        <f t="shared" si="19"/>
        <v>4</v>
      </c>
    </row>
    <row r="99" spans="1:24">
      <c r="A99" t="s">
        <v>1672</v>
      </c>
      <c r="B99" s="147">
        <v>4</v>
      </c>
      <c r="C99" s="147">
        <v>1</v>
      </c>
      <c r="D99" s="90">
        <v>4</v>
      </c>
      <c r="E99" s="90">
        <v>4</v>
      </c>
      <c r="F99" s="90" t="s">
        <v>1668</v>
      </c>
      <c r="G99" s="147">
        <v>1</v>
      </c>
      <c r="H99" s="147">
        <v>4</v>
      </c>
      <c r="I99" s="90">
        <v>3</v>
      </c>
      <c r="J99" s="90">
        <v>6</v>
      </c>
      <c r="K99" s="90">
        <v>3</v>
      </c>
      <c r="L99" s="90" t="s">
        <v>1858</v>
      </c>
      <c r="M99" t="s">
        <v>1547</v>
      </c>
      <c r="O99" s="146">
        <f t="shared" si="10"/>
        <v>12</v>
      </c>
      <c r="P99" s="146">
        <f t="shared" si="11"/>
        <v>12</v>
      </c>
      <c r="Q99" s="146">
        <f t="shared" si="12"/>
        <v>12</v>
      </c>
      <c r="R99" s="146">
        <f t="shared" si="13"/>
        <v>12</v>
      </c>
      <c r="S99" s="146">
        <f t="shared" si="14"/>
        <v>3</v>
      </c>
      <c r="T99" s="146">
        <f t="shared" si="15"/>
        <v>9</v>
      </c>
      <c r="U99" s="146">
        <f t="shared" si="16"/>
        <v>18</v>
      </c>
      <c r="V99" s="146" t="e">
        <f t="shared" si="17"/>
        <v>#VALUE!</v>
      </c>
      <c r="W99" s="90">
        <f t="shared" si="18"/>
        <v>1</v>
      </c>
      <c r="X99" s="90">
        <f t="shared" si="19"/>
        <v>4</v>
      </c>
    </row>
    <row r="100" spans="1:24">
      <c r="A100" t="s">
        <v>2274</v>
      </c>
      <c r="B100" s="99">
        <v>3</v>
      </c>
      <c r="D100" s="90">
        <v>5</v>
      </c>
      <c r="E100" s="90">
        <v>3</v>
      </c>
      <c r="F100" s="90" t="s">
        <v>1668</v>
      </c>
      <c r="G100" s="147">
        <v>2</v>
      </c>
      <c r="H100" s="147">
        <v>4</v>
      </c>
      <c r="I100" s="90">
        <v>2</v>
      </c>
      <c r="J100" s="90">
        <v>-6</v>
      </c>
      <c r="K100" s="90">
        <v>-4</v>
      </c>
      <c r="L100" s="90" t="s">
        <v>1647</v>
      </c>
      <c r="M100" t="s">
        <v>1897</v>
      </c>
      <c r="O100" s="146">
        <f t="shared" si="10"/>
        <v>9</v>
      </c>
      <c r="P100" s="146">
        <f t="shared" si="11"/>
        <v>15</v>
      </c>
      <c r="Q100" s="146">
        <f t="shared" si="12"/>
        <v>15</v>
      </c>
      <c r="R100" s="146">
        <f t="shared" si="13"/>
        <v>9</v>
      </c>
      <c r="S100" s="146">
        <f t="shared" si="14"/>
        <v>6</v>
      </c>
      <c r="T100" s="146">
        <f t="shared" si="15"/>
        <v>6</v>
      </c>
      <c r="U100" s="146">
        <f t="shared" si="16"/>
        <v>-18</v>
      </c>
      <c r="V100" s="146" t="e">
        <f t="shared" si="17"/>
        <v>#VALUE!</v>
      </c>
      <c r="W100" s="90">
        <f t="shared" si="18"/>
        <v>0</v>
      </c>
      <c r="X100" s="90">
        <f t="shared" si="19"/>
        <v>4</v>
      </c>
    </row>
    <row r="101" spans="1:24">
      <c r="A101" t="s">
        <v>1625</v>
      </c>
      <c r="B101" s="147">
        <v>4</v>
      </c>
      <c r="C101" s="147">
        <v>4</v>
      </c>
      <c r="D101" s="90">
        <v>3</v>
      </c>
      <c r="E101" s="90">
        <v>3</v>
      </c>
      <c r="F101" s="90" t="s">
        <v>1668</v>
      </c>
      <c r="G101" s="147">
        <v>1</v>
      </c>
      <c r="H101" s="147">
        <v>3</v>
      </c>
      <c r="I101" s="90">
        <v>2</v>
      </c>
      <c r="J101" s="90">
        <v>6</v>
      </c>
      <c r="K101" s="90">
        <v>4</v>
      </c>
      <c r="L101" s="90" t="s">
        <v>1626</v>
      </c>
      <c r="M101" t="s">
        <v>2024</v>
      </c>
      <c r="O101" s="146">
        <f t="shared" si="10"/>
        <v>9</v>
      </c>
      <c r="P101" s="146">
        <f t="shared" si="11"/>
        <v>9</v>
      </c>
      <c r="Q101" s="146">
        <f t="shared" si="12"/>
        <v>9</v>
      </c>
      <c r="R101" s="146">
        <f t="shared" si="13"/>
        <v>12</v>
      </c>
      <c r="S101" s="146">
        <f t="shared" si="14"/>
        <v>3</v>
      </c>
      <c r="T101" s="146">
        <f t="shared" si="15"/>
        <v>6</v>
      </c>
      <c r="U101" s="146">
        <f t="shared" si="16"/>
        <v>18</v>
      </c>
      <c r="V101" s="146" t="e">
        <f t="shared" si="17"/>
        <v>#VALUE!</v>
      </c>
      <c r="W101" s="90">
        <f t="shared" si="18"/>
        <v>4</v>
      </c>
      <c r="X101" s="90">
        <f t="shared" si="19"/>
        <v>3</v>
      </c>
    </row>
    <row r="102" spans="1:24">
      <c r="A102" t="s">
        <v>1840</v>
      </c>
      <c r="B102" s="99">
        <v>8</v>
      </c>
      <c r="D102" s="90">
        <v>4</v>
      </c>
      <c r="E102" s="90">
        <v>8</v>
      </c>
      <c r="F102" s="90">
        <v>4</v>
      </c>
      <c r="G102" s="147">
        <v>3</v>
      </c>
      <c r="H102" s="147">
        <v>4</v>
      </c>
      <c r="I102" s="90">
        <v>4</v>
      </c>
      <c r="J102" s="90">
        <v>-6</v>
      </c>
      <c r="K102" s="90" t="s">
        <v>2039</v>
      </c>
      <c r="L102" s="90" t="s">
        <v>1612</v>
      </c>
      <c r="M102" t="s">
        <v>2287</v>
      </c>
      <c r="O102" s="146">
        <f t="shared" si="10"/>
        <v>24</v>
      </c>
      <c r="P102" s="146">
        <f t="shared" si="11"/>
        <v>12</v>
      </c>
      <c r="Q102" s="146">
        <f t="shared" si="12"/>
        <v>12</v>
      </c>
      <c r="R102" s="146">
        <f t="shared" si="13"/>
        <v>24</v>
      </c>
      <c r="S102" s="146">
        <f t="shared" si="14"/>
        <v>9</v>
      </c>
      <c r="T102" s="146">
        <f t="shared" si="15"/>
        <v>12</v>
      </c>
      <c r="U102" s="146">
        <f t="shared" si="16"/>
        <v>-18</v>
      </c>
      <c r="V102" s="146">
        <f t="shared" si="17"/>
        <v>12</v>
      </c>
      <c r="W102" s="90">
        <f t="shared" si="18"/>
        <v>0</v>
      </c>
      <c r="X102" s="90">
        <f t="shared" si="19"/>
        <v>4</v>
      </c>
    </row>
    <row r="103" spans="1:24">
      <c r="A103" t="s">
        <v>1670</v>
      </c>
      <c r="B103" s="99">
        <v>7</v>
      </c>
      <c r="D103" s="90">
        <v>4</v>
      </c>
      <c r="E103" s="90">
        <v>4</v>
      </c>
      <c r="F103" s="90" t="s">
        <v>1668</v>
      </c>
      <c r="G103" s="147">
        <v>2</v>
      </c>
      <c r="H103" s="147">
        <v>4</v>
      </c>
      <c r="I103" s="90">
        <v>2</v>
      </c>
      <c r="J103" s="90">
        <v>6</v>
      </c>
      <c r="K103" s="90" t="s">
        <v>2039</v>
      </c>
      <c r="L103" s="90" t="s">
        <v>1671</v>
      </c>
      <c r="M103" t="s">
        <v>1676</v>
      </c>
      <c r="O103" s="146">
        <f t="shared" si="10"/>
        <v>12</v>
      </c>
      <c r="P103" s="146">
        <f t="shared" si="11"/>
        <v>12</v>
      </c>
      <c r="Q103" s="146">
        <f t="shared" si="12"/>
        <v>12</v>
      </c>
      <c r="R103" s="146">
        <f t="shared" si="13"/>
        <v>21</v>
      </c>
      <c r="S103" s="146">
        <f t="shared" si="14"/>
        <v>6</v>
      </c>
      <c r="T103" s="146">
        <f t="shared" si="15"/>
        <v>6</v>
      </c>
      <c r="U103" s="146">
        <f t="shared" si="16"/>
        <v>18</v>
      </c>
      <c r="V103" s="146" t="e">
        <f t="shared" si="17"/>
        <v>#VALUE!</v>
      </c>
      <c r="W103" s="90">
        <f t="shared" si="18"/>
        <v>0</v>
      </c>
      <c r="X103" s="90">
        <f t="shared" si="19"/>
        <v>4</v>
      </c>
    </row>
    <row r="104" spans="1:24">
      <c r="A104" t="s">
        <v>1677</v>
      </c>
      <c r="B104" s="99">
        <v>4</v>
      </c>
      <c r="D104" s="90">
        <v>4</v>
      </c>
      <c r="E104" s="90">
        <v>4</v>
      </c>
      <c r="F104" s="90" t="s">
        <v>1668</v>
      </c>
      <c r="G104" s="147">
        <v>2</v>
      </c>
      <c r="H104" s="147">
        <v>5</v>
      </c>
      <c r="I104" s="90">
        <v>3</v>
      </c>
      <c r="J104" s="90">
        <v>-6</v>
      </c>
      <c r="K104" s="90">
        <v>4</v>
      </c>
      <c r="L104" s="90" t="s">
        <v>1678</v>
      </c>
      <c r="M104" t="s">
        <v>773</v>
      </c>
      <c r="O104" s="146">
        <f t="shared" si="10"/>
        <v>12</v>
      </c>
      <c r="P104" s="146">
        <f t="shared" si="11"/>
        <v>12</v>
      </c>
      <c r="Q104" s="146">
        <f t="shared" si="12"/>
        <v>12</v>
      </c>
      <c r="R104" s="146">
        <f t="shared" si="13"/>
        <v>12</v>
      </c>
      <c r="S104" s="146">
        <f t="shared" si="14"/>
        <v>6</v>
      </c>
      <c r="T104" s="146">
        <f t="shared" si="15"/>
        <v>9</v>
      </c>
      <c r="U104" s="146">
        <f t="shared" si="16"/>
        <v>-18</v>
      </c>
      <c r="V104" s="146" t="e">
        <f t="shared" si="17"/>
        <v>#VALUE!</v>
      </c>
      <c r="W104" s="90">
        <f t="shared" si="18"/>
        <v>0</v>
      </c>
      <c r="X104" s="90">
        <f t="shared" si="19"/>
        <v>5</v>
      </c>
    </row>
    <row r="105" spans="1:24">
      <c r="A105" t="s">
        <v>774</v>
      </c>
      <c r="B105" s="99">
        <v>4</v>
      </c>
      <c r="D105" s="90">
        <v>4</v>
      </c>
      <c r="E105" s="90">
        <v>5</v>
      </c>
      <c r="F105" s="90" t="s">
        <v>1668</v>
      </c>
      <c r="G105" s="147">
        <v>3</v>
      </c>
      <c r="H105" s="147">
        <v>4</v>
      </c>
      <c r="I105" s="90">
        <v>3</v>
      </c>
      <c r="J105" s="90">
        <v>-6</v>
      </c>
      <c r="K105" s="90" t="s">
        <v>1275</v>
      </c>
      <c r="L105" s="90" t="s">
        <v>1086</v>
      </c>
      <c r="M105" t="s">
        <v>1639</v>
      </c>
      <c r="O105" s="146">
        <f t="shared" si="10"/>
        <v>15</v>
      </c>
      <c r="P105" s="146">
        <f t="shared" si="11"/>
        <v>12</v>
      </c>
      <c r="Q105" s="146">
        <f t="shared" si="12"/>
        <v>12</v>
      </c>
      <c r="R105" s="146">
        <f t="shared" si="13"/>
        <v>12</v>
      </c>
      <c r="S105" s="146">
        <f t="shared" si="14"/>
        <v>9</v>
      </c>
      <c r="T105" s="146">
        <f t="shared" si="15"/>
        <v>9</v>
      </c>
      <c r="U105" s="146">
        <f t="shared" si="16"/>
        <v>-18</v>
      </c>
      <c r="V105" s="146" t="e">
        <f t="shared" si="17"/>
        <v>#VALUE!</v>
      </c>
      <c r="W105" s="90">
        <f t="shared" si="18"/>
        <v>0</v>
      </c>
      <c r="X105" s="90">
        <f t="shared" si="19"/>
        <v>4</v>
      </c>
    </row>
    <row r="106" spans="1:24">
      <c r="A106" t="s">
        <v>1531</v>
      </c>
      <c r="B106" s="99">
        <v>3</v>
      </c>
      <c r="D106" s="90">
        <v>3</v>
      </c>
      <c r="E106" s="90">
        <v>3</v>
      </c>
      <c r="F106" s="90" t="s">
        <v>1668</v>
      </c>
      <c r="G106" s="147">
        <v>1</v>
      </c>
      <c r="H106" s="147">
        <v>3</v>
      </c>
      <c r="I106" s="90">
        <v>2</v>
      </c>
      <c r="J106" s="90">
        <v>6</v>
      </c>
      <c r="K106" s="90">
        <v>4</v>
      </c>
      <c r="L106" s="90" t="s">
        <v>1447</v>
      </c>
      <c r="M106" t="s">
        <v>1143</v>
      </c>
      <c r="O106" s="146">
        <f t="shared" si="10"/>
        <v>9</v>
      </c>
      <c r="P106" s="146">
        <f t="shared" si="11"/>
        <v>9</v>
      </c>
      <c r="Q106" s="146">
        <f t="shared" si="12"/>
        <v>9</v>
      </c>
      <c r="R106" s="146">
        <f t="shared" si="13"/>
        <v>9</v>
      </c>
      <c r="S106" s="146">
        <f t="shared" si="14"/>
        <v>3</v>
      </c>
      <c r="T106" s="146">
        <f t="shared" si="15"/>
        <v>6</v>
      </c>
      <c r="U106" s="146">
        <f t="shared" si="16"/>
        <v>18</v>
      </c>
      <c r="V106" s="146" t="e">
        <f t="shared" si="17"/>
        <v>#VALUE!</v>
      </c>
      <c r="W106" s="90">
        <f t="shared" si="18"/>
        <v>0</v>
      </c>
      <c r="X106" s="90">
        <f t="shared" si="19"/>
        <v>3</v>
      </c>
    </row>
    <row r="107" spans="1:24">
      <c r="A107" t="s">
        <v>1144</v>
      </c>
      <c r="B107" s="99">
        <v>3</v>
      </c>
      <c r="D107" s="90">
        <v>3</v>
      </c>
      <c r="E107" s="90">
        <v>4</v>
      </c>
      <c r="F107" s="90" t="s">
        <v>1668</v>
      </c>
      <c r="G107" s="147">
        <v>2</v>
      </c>
      <c r="H107" s="147">
        <v>3</v>
      </c>
      <c r="I107" s="90">
        <v>3</v>
      </c>
      <c r="J107" s="90">
        <v>6</v>
      </c>
      <c r="K107" s="90" t="s">
        <v>901</v>
      </c>
      <c r="L107" s="90" t="s">
        <v>1423</v>
      </c>
      <c r="M107" t="s">
        <v>1005</v>
      </c>
      <c r="O107" s="146">
        <f t="shared" si="10"/>
        <v>12</v>
      </c>
      <c r="P107" s="146">
        <f t="shared" si="11"/>
        <v>9</v>
      </c>
      <c r="Q107" s="146">
        <f t="shared" si="12"/>
        <v>9</v>
      </c>
      <c r="R107" s="146">
        <f t="shared" si="13"/>
        <v>9</v>
      </c>
      <c r="S107" s="146">
        <f t="shared" si="14"/>
        <v>6</v>
      </c>
      <c r="T107" s="146">
        <f t="shared" si="15"/>
        <v>9</v>
      </c>
      <c r="U107" s="146">
        <f t="shared" si="16"/>
        <v>18</v>
      </c>
      <c r="V107" s="146" t="e">
        <f t="shared" si="17"/>
        <v>#VALUE!</v>
      </c>
      <c r="W107" s="90">
        <f t="shared" si="18"/>
        <v>0</v>
      </c>
      <c r="X107" s="90">
        <f t="shared" si="19"/>
        <v>3</v>
      </c>
    </row>
    <row r="108" spans="1:24">
      <c r="A108" t="s">
        <v>1276</v>
      </c>
      <c r="B108" s="99">
        <v>4</v>
      </c>
      <c r="D108" s="90">
        <v>4</v>
      </c>
      <c r="E108" s="90">
        <v>4</v>
      </c>
      <c r="F108" s="90" t="s">
        <v>1668</v>
      </c>
      <c r="G108" s="147">
        <v>2</v>
      </c>
      <c r="H108" s="147">
        <v>3</v>
      </c>
      <c r="I108" s="90">
        <v>3</v>
      </c>
      <c r="J108" s="90">
        <v>-6</v>
      </c>
      <c r="K108" s="90">
        <v>5</v>
      </c>
      <c r="L108" s="90" t="s">
        <v>1500</v>
      </c>
      <c r="M108" t="s">
        <v>1244</v>
      </c>
      <c r="O108" s="146">
        <f t="shared" si="10"/>
        <v>12</v>
      </c>
      <c r="P108" s="146">
        <f t="shared" si="11"/>
        <v>12</v>
      </c>
      <c r="Q108" s="146">
        <f t="shared" si="12"/>
        <v>12</v>
      </c>
      <c r="R108" s="146">
        <f t="shared" si="13"/>
        <v>12</v>
      </c>
      <c r="S108" s="146">
        <f t="shared" si="14"/>
        <v>6</v>
      </c>
      <c r="T108" s="146">
        <f t="shared" si="15"/>
        <v>9</v>
      </c>
      <c r="U108" s="146">
        <f t="shared" si="16"/>
        <v>-18</v>
      </c>
      <c r="V108" s="146" t="e">
        <f t="shared" si="17"/>
        <v>#VALUE!</v>
      </c>
      <c r="W108" s="90">
        <f t="shared" si="18"/>
        <v>0</v>
      </c>
      <c r="X108" s="90">
        <f t="shared" si="19"/>
        <v>3</v>
      </c>
    </row>
    <row r="109" spans="1:24">
      <c r="A109" t="s">
        <v>1245</v>
      </c>
      <c r="B109" s="99">
        <v>6</v>
      </c>
      <c r="D109" s="90">
        <v>2</v>
      </c>
      <c r="E109" s="90">
        <v>9</v>
      </c>
      <c r="F109" s="90">
        <v>3</v>
      </c>
      <c r="G109" s="147">
        <v>3</v>
      </c>
      <c r="H109" s="147">
        <v>5</v>
      </c>
      <c r="I109" s="90">
        <v>4</v>
      </c>
      <c r="J109" s="90">
        <v>-6</v>
      </c>
      <c r="K109" s="90" t="s">
        <v>901</v>
      </c>
      <c r="L109" s="90" t="s">
        <v>1246</v>
      </c>
      <c r="M109" t="s">
        <v>1592</v>
      </c>
      <c r="O109" s="146">
        <f t="shared" si="10"/>
        <v>27</v>
      </c>
      <c r="P109" s="146">
        <f t="shared" si="11"/>
        <v>6</v>
      </c>
      <c r="Q109" s="146">
        <f t="shared" si="12"/>
        <v>6</v>
      </c>
      <c r="R109" s="146">
        <f t="shared" si="13"/>
        <v>18</v>
      </c>
      <c r="S109" s="146">
        <f t="shared" si="14"/>
        <v>9</v>
      </c>
      <c r="T109" s="146">
        <f t="shared" si="15"/>
        <v>12</v>
      </c>
      <c r="U109" s="146">
        <f t="shared" si="16"/>
        <v>-18</v>
      </c>
      <c r="V109" s="146">
        <f t="shared" si="17"/>
        <v>9</v>
      </c>
      <c r="W109" s="90">
        <f t="shared" si="18"/>
        <v>0</v>
      </c>
      <c r="X109" s="90">
        <f t="shared" si="19"/>
        <v>5</v>
      </c>
    </row>
    <row r="110" spans="1:24">
      <c r="A110" t="s">
        <v>1593</v>
      </c>
      <c r="B110" s="99">
        <v>15</v>
      </c>
      <c r="C110" s="99">
        <v>8</v>
      </c>
      <c r="D110" s="90">
        <v>4</v>
      </c>
      <c r="E110" s="90">
        <v>42</v>
      </c>
      <c r="F110" s="90" t="s">
        <v>1668</v>
      </c>
      <c r="G110" s="147">
        <v>1</v>
      </c>
      <c r="H110" s="147">
        <v>3</v>
      </c>
      <c r="I110" s="90">
        <v>9</v>
      </c>
      <c r="J110" s="90">
        <v>7</v>
      </c>
      <c r="K110" s="90">
        <v>4</v>
      </c>
      <c r="L110" s="90" t="s">
        <v>1594</v>
      </c>
      <c r="M110" t="s">
        <v>769</v>
      </c>
      <c r="O110" s="146">
        <f t="shared" si="10"/>
        <v>126</v>
      </c>
      <c r="P110" s="146">
        <f t="shared" si="11"/>
        <v>12</v>
      </c>
      <c r="Q110" s="146">
        <f t="shared" si="12"/>
        <v>12</v>
      </c>
      <c r="R110" s="146">
        <f t="shared" si="13"/>
        <v>45</v>
      </c>
      <c r="S110" s="146">
        <f t="shared" si="14"/>
        <v>3</v>
      </c>
      <c r="T110" s="146">
        <f t="shared" si="15"/>
        <v>27</v>
      </c>
      <c r="U110" s="146">
        <f t="shared" si="16"/>
        <v>21</v>
      </c>
      <c r="V110" s="146" t="e">
        <f t="shared" si="17"/>
        <v>#VALUE!</v>
      </c>
      <c r="W110" s="90">
        <f t="shared" si="18"/>
        <v>8</v>
      </c>
      <c r="X110" s="90">
        <f t="shared" si="19"/>
        <v>3</v>
      </c>
    </row>
    <row r="111" spans="1:24">
      <c r="A111" t="s">
        <v>770</v>
      </c>
      <c r="B111" s="147">
        <v>7</v>
      </c>
      <c r="C111" s="147">
        <v>2</v>
      </c>
      <c r="D111" s="90">
        <v>4</v>
      </c>
      <c r="E111" s="90">
        <v>5</v>
      </c>
      <c r="F111" s="90" t="s">
        <v>1668</v>
      </c>
      <c r="G111" s="147">
        <v>1</v>
      </c>
      <c r="H111" s="147">
        <v>4</v>
      </c>
      <c r="I111" s="90">
        <v>3</v>
      </c>
      <c r="J111" s="90">
        <v>5</v>
      </c>
      <c r="K111" s="90">
        <v>3</v>
      </c>
      <c r="L111" s="90" t="s">
        <v>771</v>
      </c>
      <c r="M111" t="s">
        <v>1194</v>
      </c>
      <c r="O111" s="146">
        <f t="shared" si="10"/>
        <v>15</v>
      </c>
      <c r="P111" s="146">
        <f t="shared" si="11"/>
        <v>12</v>
      </c>
      <c r="Q111" s="146">
        <f t="shared" si="12"/>
        <v>12</v>
      </c>
      <c r="R111" s="146">
        <f t="shared" si="13"/>
        <v>21</v>
      </c>
      <c r="S111" s="146">
        <f t="shared" si="14"/>
        <v>3</v>
      </c>
      <c r="T111" s="146">
        <f t="shared" si="15"/>
        <v>9</v>
      </c>
      <c r="U111" s="146">
        <f t="shared" si="16"/>
        <v>15</v>
      </c>
      <c r="V111" s="146" t="e">
        <f t="shared" si="17"/>
        <v>#VALUE!</v>
      </c>
      <c r="W111" s="90">
        <f t="shared" si="18"/>
        <v>2</v>
      </c>
      <c r="X111" s="90">
        <f t="shared" si="19"/>
        <v>4</v>
      </c>
    </row>
    <row r="112" spans="1:24">
      <c r="A112" t="s">
        <v>1345</v>
      </c>
      <c r="B112" s="99">
        <v>4</v>
      </c>
      <c r="D112" s="90">
        <v>5</v>
      </c>
      <c r="E112" s="90">
        <v>4</v>
      </c>
      <c r="F112" s="90" t="s">
        <v>1668</v>
      </c>
      <c r="G112" s="147">
        <v>2</v>
      </c>
      <c r="H112" s="147">
        <v>4</v>
      </c>
      <c r="I112" s="90">
        <v>2</v>
      </c>
      <c r="J112" s="90">
        <v>6</v>
      </c>
      <c r="K112" s="90">
        <v>4</v>
      </c>
      <c r="L112" s="90" t="s">
        <v>1500</v>
      </c>
      <c r="M112" t="s">
        <v>1333</v>
      </c>
      <c r="O112" s="146">
        <f t="shared" si="10"/>
        <v>12</v>
      </c>
      <c r="P112" s="146">
        <f t="shared" si="11"/>
        <v>15</v>
      </c>
      <c r="Q112" s="146">
        <f t="shared" si="12"/>
        <v>15</v>
      </c>
      <c r="R112" s="146">
        <f t="shared" si="13"/>
        <v>12</v>
      </c>
      <c r="S112" s="146">
        <f t="shared" si="14"/>
        <v>6</v>
      </c>
      <c r="T112" s="146">
        <f t="shared" si="15"/>
        <v>6</v>
      </c>
      <c r="U112" s="146">
        <f t="shared" si="16"/>
        <v>18</v>
      </c>
      <c r="V112" s="146" t="e">
        <f t="shared" si="17"/>
        <v>#VALUE!</v>
      </c>
      <c r="W112" s="90">
        <f t="shared" si="18"/>
        <v>0</v>
      </c>
      <c r="X112" s="90">
        <f t="shared" si="19"/>
        <v>4</v>
      </c>
    </row>
    <row r="113" spans="1:24">
      <c r="A113" t="s">
        <v>1332</v>
      </c>
      <c r="B113" s="99">
        <v>3</v>
      </c>
      <c r="D113" s="90">
        <v>6</v>
      </c>
      <c r="E113" s="90">
        <v>3</v>
      </c>
      <c r="F113" s="90" t="s">
        <v>1668</v>
      </c>
      <c r="G113" s="147">
        <v>2</v>
      </c>
      <c r="H113" s="147">
        <v>5</v>
      </c>
      <c r="I113" s="90">
        <v>3</v>
      </c>
      <c r="J113" s="90">
        <v>-6</v>
      </c>
      <c r="K113" s="90">
        <v>6</v>
      </c>
      <c r="L113" s="90" t="s">
        <v>1447</v>
      </c>
      <c r="M113" t="s">
        <v>1191</v>
      </c>
      <c r="O113" s="146">
        <f t="shared" si="10"/>
        <v>9</v>
      </c>
      <c r="P113" s="146">
        <f t="shared" si="11"/>
        <v>18</v>
      </c>
      <c r="Q113" s="146">
        <f t="shared" si="12"/>
        <v>18</v>
      </c>
      <c r="R113" s="146">
        <f t="shared" si="13"/>
        <v>9</v>
      </c>
      <c r="S113" s="146">
        <f t="shared" si="14"/>
        <v>6</v>
      </c>
      <c r="T113" s="146">
        <f t="shared" si="15"/>
        <v>9</v>
      </c>
      <c r="U113" s="146">
        <f t="shared" si="16"/>
        <v>-18</v>
      </c>
      <c r="V113" s="146" t="e">
        <f t="shared" si="17"/>
        <v>#VALUE!</v>
      </c>
      <c r="W113" s="90">
        <f t="shared" si="18"/>
        <v>0</v>
      </c>
      <c r="X113" s="90">
        <f t="shared" si="19"/>
        <v>5</v>
      </c>
    </row>
    <row r="114" spans="1:24">
      <c r="A114" t="s">
        <v>1073</v>
      </c>
      <c r="B114" s="147">
        <v>11</v>
      </c>
      <c r="C114" s="147">
        <v>2</v>
      </c>
      <c r="D114" s="90">
        <v>5</v>
      </c>
      <c r="E114" s="90">
        <v>10</v>
      </c>
      <c r="F114" s="90" t="s">
        <v>1668</v>
      </c>
      <c r="G114" s="147">
        <v>2</v>
      </c>
      <c r="H114" s="147">
        <v>4</v>
      </c>
      <c r="I114" s="90">
        <v>3</v>
      </c>
      <c r="J114" s="90">
        <v>6</v>
      </c>
      <c r="K114" s="90">
        <v>5</v>
      </c>
      <c r="L114" s="90" t="s">
        <v>1594</v>
      </c>
      <c r="M114" t="s">
        <v>1405</v>
      </c>
      <c r="O114" s="146">
        <f t="shared" si="10"/>
        <v>30</v>
      </c>
      <c r="P114" s="146">
        <f t="shared" si="11"/>
        <v>15</v>
      </c>
      <c r="Q114" s="146">
        <f t="shared" si="12"/>
        <v>15</v>
      </c>
      <c r="R114" s="146">
        <f t="shared" si="13"/>
        <v>33</v>
      </c>
      <c r="S114" s="146">
        <f t="shared" si="14"/>
        <v>6</v>
      </c>
      <c r="T114" s="146">
        <f t="shared" si="15"/>
        <v>9</v>
      </c>
      <c r="U114" s="146">
        <f t="shared" si="16"/>
        <v>18</v>
      </c>
      <c r="V114" s="146" t="e">
        <f t="shared" si="17"/>
        <v>#VALUE!</v>
      </c>
      <c r="W114" s="90">
        <f t="shared" si="18"/>
        <v>2</v>
      </c>
      <c r="X114" s="90">
        <f t="shared" si="19"/>
        <v>4</v>
      </c>
    </row>
    <row r="115" spans="1:24">
      <c r="A115" t="s">
        <v>1406</v>
      </c>
      <c r="B115" s="99" t="s">
        <v>1418</v>
      </c>
      <c r="C115" s="99" t="s">
        <v>1418</v>
      </c>
      <c r="D115" s="90">
        <v>4</v>
      </c>
      <c r="E115" s="90" t="s">
        <v>1419</v>
      </c>
      <c r="F115" s="90" t="s">
        <v>1668</v>
      </c>
      <c r="G115" s="147">
        <v>3</v>
      </c>
      <c r="H115" s="147">
        <v>4</v>
      </c>
      <c r="I115" s="90">
        <v>4</v>
      </c>
      <c r="J115" s="90">
        <v>5</v>
      </c>
      <c r="K115" s="90" t="s">
        <v>1564</v>
      </c>
      <c r="L115" s="90" t="s">
        <v>1778</v>
      </c>
      <c r="M115" t="s">
        <v>2083</v>
      </c>
      <c r="O115" s="146" t="e">
        <f t="shared" si="10"/>
        <v>#VALUE!</v>
      </c>
      <c r="P115" s="146">
        <f t="shared" si="11"/>
        <v>12</v>
      </c>
      <c r="Q115" s="146">
        <f t="shared" si="12"/>
        <v>12</v>
      </c>
      <c r="R115" s="146" t="e">
        <f t="shared" si="13"/>
        <v>#VALUE!</v>
      </c>
      <c r="S115" s="146">
        <f t="shared" si="14"/>
        <v>9</v>
      </c>
      <c r="T115" s="146">
        <f t="shared" si="15"/>
        <v>12</v>
      </c>
      <c r="U115" s="146">
        <f t="shared" si="16"/>
        <v>15</v>
      </c>
      <c r="V115" s="146" t="e">
        <f t="shared" si="17"/>
        <v>#VALUE!</v>
      </c>
      <c r="W115" s="90" t="str">
        <f t="shared" si="18"/>
        <v>4(6)</v>
      </c>
      <c r="X115" s="90">
        <f t="shared" si="19"/>
        <v>4</v>
      </c>
    </row>
    <row r="116" spans="1:24">
      <c r="A116" t="s">
        <v>1950</v>
      </c>
      <c r="B116" s="99">
        <v>10</v>
      </c>
      <c r="D116" s="90">
        <v>6</v>
      </c>
      <c r="E116" s="90">
        <v>7</v>
      </c>
      <c r="F116" s="90">
        <v>5</v>
      </c>
      <c r="G116" s="99">
        <v>5</v>
      </c>
      <c r="H116" s="99">
        <v>5</v>
      </c>
      <c r="I116" s="90">
        <v>5</v>
      </c>
      <c r="J116" s="90" t="s">
        <v>2213</v>
      </c>
      <c r="K116" s="90" t="s">
        <v>2214</v>
      </c>
      <c r="L116" s="90" t="s">
        <v>1678</v>
      </c>
      <c r="M116" t="s">
        <v>1929</v>
      </c>
      <c r="O116" s="146">
        <f t="shared" si="10"/>
        <v>21</v>
      </c>
      <c r="P116" s="146">
        <f t="shared" si="11"/>
        <v>18</v>
      </c>
      <c r="Q116" s="146">
        <f t="shared" si="12"/>
        <v>18</v>
      </c>
      <c r="R116" s="146">
        <f t="shared" si="13"/>
        <v>30</v>
      </c>
      <c r="S116" s="146">
        <f t="shared" si="14"/>
        <v>15</v>
      </c>
      <c r="T116" s="146">
        <f t="shared" si="15"/>
        <v>15</v>
      </c>
      <c r="U116" s="146" t="e">
        <f t="shared" si="16"/>
        <v>#VALUE!</v>
      </c>
      <c r="V116" s="146">
        <f t="shared" si="17"/>
        <v>15</v>
      </c>
      <c r="W116" s="90">
        <f t="shared" si="18"/>
        <v>0</v>
      </c>
      <c r="X116" s="90">
        <f t="shared" si="19"/>
        <v>5</v>
      </c>
    </row>
    <row r="117" spans="1:24">
      <c r="A117" t="s">
        <v>1931</v>
      </c>
      <c r="B117" s="99">
        <v>8</v>
      </c>
      <c r="D117" s="90">
        <v>6</v>
      </c>
      <c r="E117" s="90">
        <v>8</v>
      </c>
      <c r="F117" s="90" t="s">
        <v>1668</v>
      </c>
      <c r="G117" s="147">
        <v>3</v>
      </c>
      <c r="H117" s="147">
        <v>4</v>
      </c>
      <c r="I117" s="90">
        <v>3</v>
      </c>
      <c r="J117" s="90">
        <v>6</v>
      </c>
      <c r="K117" s="90">
        <v>6</v>
      </c>
      <c r="L117" s="90" t="s">
        <v>1822</v>
      </c>
      <c r="M117" t="s">
        <v>1195</v>
      </c>
      <c r="O117" s="146">
        <f t="shared" si="10"/>
        <v>24</v>
      </c>
      <c r="P117" s="146">
        <f t="shared" si="11"/>
        <v>18</v>
      </c>
      <c r="Q117" s="146">
        <f t="shared" si="12"/>
        <v>18</v>
      </c>
      <c r="R117" s="146">
        <f t="shared" si="13"/>
        <v>24</v>
      </c>
      <c r="S117" s="146">
        <f t="shared" si="14"/>
        <v>9</v>
      </c>
      <c r="T117" s="146">
        <f t="shared" si="15"/>
        <v>9</v>
      </c>
      <c r="U117" s="146">
        <f t="shared" si="16"/>
        <v>18</v>
      </c>
      <c r="V117" s="146" t="e">
        <f t="shared" si="17"/>
        <v>#VALUE!</v>
      </c>
      <c r="W117" s="90">
        <f t="shared" si="18"/>
        <v>0</v>
      </c>
      <c r="X117" s="90">
        <f t="shared" si="19"/>
        <v>4</v>
      </c>
    </row>
    <row r="118" spans="1:24">
      <c r="A118" t="s">
        <v>1196</v>
      </c>
      <c r="B118" s="99">
        <v>15</v>
      </c>
      <c r="C118" s="99">
        <v>2</v>
      </c>
      <c r="D118" s="90">
        <v>5</v>
      </c>
      <c r="E118" s="90">
        <v>13</v>
      </c>
      <c r="F118" s="90" t="s">
        <v>1668</v>
      </c>
      <c r="G118" s="147">
        <v>1</v>
      </c>
      <c r="H118" s="147">
        <v>3</v>
      </c>
      <c r="I118" s="90">
        <v>3</v>
      </c>
      <c r="J118" s="90">
        <v>6</v>
      </c>
      <c r="K118" s="90">
        <v>5</v>
      </c>
      <c r="L118" s="90" t="s">
        <v>1594</v>
      </c>
      <c r="M118" t="s">
        <v>1350</v>
      </c>
      <c r="O118" s="146">
        <f t="shared" si="10"/>
        <v>39</v>
      </c>
      <c r="P118" s="146">
        <f t="shared" si="11"/>
        <v>15</v>
      </c>
      <c r="Q118" s="146">
        <f t="shared" si="12"/>
        <v>15</v>
      </c>
      <c r="R118" s="146">
        <f t="shared" si="13"/>
        <v>45</v>
      </c>
      <c r="S118" s="146">
        <f t="shared" si="14"/>
        <v>3</v>
      </c>
      <c r="T118" s="146">
        <f t="shared" si="15"/>
        <v>9</v>
      </c>
      <c r="U118" s="146">
        <f t="shared" si="16"/>
        <v>18</v>
      </c>
      <c r="V118" s="146" t="e">
        <f t="shared" si="17"/>
        <v>#VALUE!</v>
      </c>
      <c r="W118" s="90">
        <f t="shared" si="18"/>
        <v>2</v>
      </c>
      <c r="X118" s="90">
        <f t="shared" si="19"/>
        <v>3</v>
      </c>
    </row>
    <row r="119" spans="1:24">
      <c r="A119" t="s">
        <v>1351</v>
      </c>
      <c r="B119" s="99">
        <v>4</v>
      </c>
      <c r="D119" s="90">
        <v>6</v>
      </c>
      <c r="E119" s="90">
        <v>6</v>
      </c>
      <c r="F119" s="90" t="s">
        <v>1668</v>
      </c>
      <c r="G119" s="147">
        <v>2</v>
      </c>
      <c r="H119" s="147">
        <v>4</v>
      </c>
      <c r="I119" s="90">
        <v>3</v>
      </c>
      <c r="J119" s="90">
        <v>6</v>
      </c>
      <c r="K119" s="90">
        <v>4</v>
      </c>
      <c r="L119" s="90" t="s">
        <v>1889</v>
      </c>
      <c r="M119" t="s">
        <v>1788</v>
      </c>
      <c r="O119" s="146">
        <f t="shared" si="10"/>
        <v>18</v>
      </c>
      <c r="P119" s="146">
        <f t="shared" si="11"/>
        <v>18</v>
      </c>
      <c r="Q119" s="146">
        <f t="shared" si="12"/>
        <v>18</v>
      </c>
      <c r="R119" s="146">
        <f t="shared" si="13"/>
        <v>12</v>
      </c>
      <c r="S119" s="146">
        <f t="shared" si="14"/>
        <v>6</v>
      </c>
      <c r="T119" s="146">
        <f t="shared" si="15"/>
        <v>9</v>
      </c>
      <c r="U119" s="146">
        <f t="shared" si="16"/>
        <v>18</v>
      </c>
      <c r="V119" s="146" t="e">
        <f t="shared" si="17"/>
        <v>#VALUE!</v>
      </c>
      <c r="W119" s="90">
        <f t="shared" si="18"/>
        <v>0</v>
      </c>
      <c r="X119" s="90">
        <f t="shared" si="19"/>
        <v>4</v>
      </c>
    </row>
    <row r="120" spans="1:24">
      <c r="A120" t="s">
        <v>1658</v>
      </c>
      <c r="B120" s="99">
        <v>4</v>
      </c>
      <c r="D120" s="90">
        <v>4</v>
      </c>
      <c r="E120" s="90">
        <v>8</v>
      </c>
      <c r="F120" s="90" t="s">
        <v>1668</v>
      </c>
      <c r="G120" s="147">
        <v>2</v>
      </c>
      <c r="H120" s="147">
        <v>4</v>
      </c>
      <c r="I120" s="90">
        <v>2</v>
      </c>
      <c r="J120" s="90">
        <v>6</v>
      </c>
      <c r="K120" s="90" t="s">
        <v>901</v>
      </c>
      <c r="L120" s="90" t="s">
        <v>1623</v>
      </c>
      <c r="M120" t="s">
        <v>1659</v>
      </c>
      <c r="O120" s="146">
        <f t="shared" si="10"/>
        <v>24</v>
      </c>
      <c r="P120" s="146">
        <f t="shared" si="11"/>
        <v>12</v>
      </c>
      <c r="Q120" s="146">
        <f t="shared" si="12"/>
        <v>12</v>
      </c>
      <c r="R120" s="146">
        <f t="shared" si="13"/>
        <v>12</v>
      </c>
      <c r="S120" s="146">
        <f t="shared" si="14"/>
        <v>6</v>
      </c>
      <c r="T120" s="146">
        <f t="shared" si="15"/>
        <v>6</v>
      </c>
      <c r="U120" s="146">
        <f t="shared" si="16"/>
        <v>18</v>
      </c>
      <c r="V120" s="146" t="e">
        <f t="shared" si="17"/>
        <v>#VALUE!</v>
      </c>
      <c r="W120" s="90">
        <f t="shared" si="18"/>
        <v>0</v>
      </c>
      <c r="X120" s="90">
        <f t="shared" si="19"/>
        <v>4</v>
      </c>
    </row>
    <row r="121" spans="1:24">
      <c r="A121" t="s">
        <v>1548</v>
      </c>
      <c r="B121" s="99">
        <v>4</v>
      </c>
      <c r="D121" s="90">
        <v>5</v>
      </c>
      <c r="E121" s="90">
        <v>5</v>
      </c>
      <c r="F121" s="90" t="s">
        <v>1668</v>
      </c>
      <c r="G121" s="147">
        <v>2</v>
      </c>
      <c r="H121" s="147">
        <v>4</v>
      </c>
      <c r="I121" s="90">
        <v>3</v>
      </c>
      <c r="J121" s="90">
        <v>-6</v>
      </c>
      <c r="K121" s="90" t="s">
        <v>1654</v>
      </c>
      <c r="L121" s="90" t="s">
        <v>1678</v>
      </c>
      <c r="M121" t="s">
        <v>1549</v>
      </c>
      <c r="O121" s="146">
        <f t="shared" si="10"/>
        <v>15</v>
      </c>
      <c r="P121" s="146">
        <f t="shared" si="11"/>
        <v>15</v>
      </c>
      <c r="Q121" s="146">
        <f t="shared" si="12"/>
        <v>15</v>
      </c>
      <c r="R121" s="146">
        <f t="shared" si="13"/>
        <v>12</v>
      </c>
      <c r="S121" s="146">
        <f t="shared" si="14"/>
        <v>6</v>
      </c>
      <c r="T121" s="146">
        <f t="shared" si="15"/>
        <v>9</v>
      </c>
      <c r="U121" s="146">
        <f t="shared" si="16"/>
        <v>-18</v>
      </c>
      <c r="V121" s="146" t="e">
        <f t="shared" si="17"/>
        <v>#VALUE!</v>
      </c>
      <c r="W121" s="90">
        <f t="shared" si="18"/>
        <v>0</v>
      </c>
      <c r="X121" s="90">
        <f t="shared" si="19"/>
        <v>4</v>
      </c>
    </row>
    <row r="122" spans="1:24">
      <c r="A122" t="s">
        <v>1360</v>
      </c>
      <c r="B122" s="99">
        <v>3</v>
      </c>
      <c r="D122" s="90">
        <v>4</v>
      </c>
      <c r="E122" s="90">
        <v>6</v>
      </c>
      <c r="F122" s="90" t="s">
        <v>1668</v>
      </c>
      <c r="G122" s="147">
        <v>4</v>
      </c>
      <c r="H122" s="147">
        <v>5</v>
      </c>
      <c r="I122" s="90">
        <v>5</v>
      </c>
      <c r="J122" s="90">
        <v>5</v>
      </c>
      <c r="K122" s="90">
        <v>5</v>
      </c>
      <c r="L122" s="90" t="s">
        <v>1786</v>
      </c>
      <c r="M122" t="s">
        <v>1076</v>
      </c>
      <c r="O122" s="146">
        <f t="shared" si="10"/>
        <v>18</v>
      </c>
      <c r="P122" s="146">
        <f t="shared" si="11"/>
        <v>12</v>
      </c>
      <c r="Q122" s="146">
        <f t="shared" si="12"/>
        <v>12</v>
      </c>
      <c r="R122" s="146">
        <f t="shared" si="13"/>
        <v>9</v>
      </c>
      <c r="S122" s="146">
        <f t="shared" si="14"/>
        <v>12</v>
      </c>
      <c r="T122" s="146">
        <f t="shared" si="15"/>
        <v>15</v>
      </c>
      <c r="U122" s="146">
        <f t="shared" si="16"/>
        <v>15</v>
      </c>
      <c r="V122" s="146" t="e">
        <f t="shared" si="17"/>
        <v>#VALUE!</v>
      </c>
      <c r="W122" s="90">
        <f t="shared" si="18"/>
        <v>0</v>
      </c>
      <c r="X122" s="90">
        <f t="shared" si="19"/>
        <v>5</v>
      </c>
    </row>
    <row r="123" spans="1:24">
      <c r="A123" t="s">
        <v>1203</v>
      </c>
      <c r="B123" s="99">
        <v>4</v>
      </c>
      <c r="D123" s="90">
        <v>4</v>
      </c>
      <c r="E123" s="90">
        <v>4</v>
      </c>
      <c r="F123" s="90" t="s">
        <v>1668</v>
      </c>
      <c r="G123" s="147">
        <v>2</v>
      </c>
      <c r="H123" s="147">
        <v>3</v>
      </c>
      <c r="I123" s="90">
        <v>3</v>
      </c>
      <c r="J123" s="90">
        <v>6</v>
      </c>
      <c r="K123" s="90">
        <v>4</v>
      </c>
      <c r="L123" s="90" t="s">
        <v>1895</v>
      </c>
      <c r="M123" t="s">
        <v>1071</v>
      </c>
      <c r="O123" s="146">
        <f t="shared" si="10"/>
        <v>12</v>
      </c>
      <c r="P123" s="146">
        <f t="shared" si="11"/>
        <v>12</v>
      </c>
      <c r="Q123" s="146">
        <f t="shared" si="12"/>
        <v>12</v>
      </c>
      <c r="R123" s="146">
        <f t="shared" si="13"/>
        <v>12</v>
      </c>
      <c r="S123" s="146">
        <f t="shared" si="14"/>
        <v>6</v>
      </c>
      <c r="T123" s="146">
        <f t="shared" si="15"/>
        <v>9</v>
      </c>
      <c r="U123" s="146">
        <f t="shared" si="16"/>
        <v>18</v>
      </c>
      <c r="V123" s="146" t="e">
        <f t="shared" si="17"/>
        <v>#VALUE!</v>
      </c>
      <c r="W123" s="90">
        <f t="shared" si="18"/>
        <v>0</v>
      </c>
      <c r="X123" s="90">
        <f t="shared" si="19"/>
        <v>3</v>
      </c>
    </row>
    <row r="124" spans="1:24">
      <c r="A124" t="s">
        <v>1072</v>
      </c>
      <c r="B124" s="147">
        <v>8</v>
      </c>
      <c r="C124" s="147">
        <v>3</v>
      </c>
      <c r="D124" s="90">
        <v>3</v>
      </c>
      <c r="E124" s="90">
        <v>5</v>
      </c>
      <c r="F124" s="90" t="s">
        <v>1668</v>
      </c>
      <c r="G124" s="147">
        <v>2</v>
      </c>
      <c r="H124" s="147">
        <v>4</v>
      </c>
      <c r="I124" s="90">
        <v>3</v>
      </c>
      <c r="J124" s="90">
        <v>-6</v>
      </c>
      <c r="K124" s="90">
        <v>3</v>
      </c>
      <c r="L124" s="90" t="s">
        <v>1500</v>
      </c>
      <c r="M124" t="s">
        <v>1058</v>
      </c>
      <c r="O124" s="146">
        <f t="shared" si="10"/>
        <v>15</v>
      </c>
      <c r="P124" s="146">
        <f t="shared" si="11"/>
        <v>9</v>
      </c>
      <c r="Q124" s="146">
        <f t="shared" si="12"/>
        <v>9</v>
      </c>
      <c r="R124" s="146">
        <f t="shared" si="13"/>
        <v>24</v>
      </c>
      <c r="S124" s="146">
        <f t="shared" si="14"/>
        <v>6</v>
      </c>
      <c r="T124" s="146">
        <f t="shared" si="15"/>
        <v>9</v>
      </c>
      <c r="U124" s="146">
        <f t="shared" si="16"/>
        <v>-18</v>
      </c>
      <c r="V124" s="146" t="e">
        <f t="shared" si="17"/>
        <v>#VALUE!</v>
      </c>
      <c r="W124" s="90">
        <f t="shared" si="18"/>
        <v>3</v>
      </c>
      <c r="X124" s="90">
        <f t="shared" si="19"/>
        <v>4</v>
      </c>
    </row>
    <row r="125" spans="1:24">
      <c r="A125" t="s">
        <v>1059</v>
      </c>
      <c r="B125" s="99">
        <v>6</v>
      </c>
      <c r="D125" s="90">
        <v>3</v>
      </c>
      <c r="E125" s="90">
        <v>0</v>
      </c>
      <c r="F125" s="90">
        <v>6</v>
      </c>
      <c r="G125" s="147">
        <v>1</v>
      </c>
      <c r="H125" s="147">
        <v>6</v>
      </c>
      <c r="I125" s="90">
        <v>6</v>
      </c>
      <c r="J125" s="90" t="s">
        <v>1157</v>
      </c>
      <c r="K125" s="90">
        <v>5</v>
      </c>
      <c r="L125" s="90" t="s">
        <v>1175</v>
      </c>
      <c r="M125" t="s">
        <v>876</v>
      </c>
      <c r="O125" s="146">
        <f t="shared" si="10"/>
        <v>0</v>
      </c>
      <c r="P125" s="146">
        <f t="shared" si="11"/>
        <v>9</v>
      </c>
      <c r="Q125" s="146">
        <f t="shared" si="12"/>
        <v>9</v>
      </c>
      <c r="R125" s="146">
        <f t="shared" si="13"/>
        <v>18</v>
      </c>
      <c r="S125" s="146">
        <f t="shared" si="14"/>
        <v>3</v>
      </c>
      <c r="T125" s="146">
        <f t="shared" si="15"/>
        <v>18</v>
      </c>
      <c r="U125" s="146" t="e">
        <f t="shared" si="16"/>
        <v>#VALUE!</v>
      </c>
      <c r="V125" s="146">
        <f t="shared" si="17"/>
        <v>18</v>
      </c>
      <c r="W125" s="90">
        <f t="shared" si="18"/>
        <v>0</v>
      </c>
      <c r="X125" s="90">
        <f t="shared" si="19"/>
        <v>6</v>
      </c>
    </row>
    <row r="126" spans="1:24">
      <c r="A126" t="s">
        <v>877</v>
      </c>
      <c r="B126" s="99">
        <v>3</v>
      </c>
      <c r="D126" s="90">
        <v>4</v>
      </c>
      <c r="E126" s="90">
        <v>3</v>
      </c>
      <c r="F126" s="90" t="s">
        <v>1668</v>
      </c>
      <c r="G126" s="147">
        <v>2</v>
      </c>
      <c r="H126" s="147">
        <v>4</v>
      </c>
      <c r="I126" s="90">
        <v>2</v>
      </c>
      <c r="J126" s="90">
        <v>6</v>
      </c>
      <c r="K126" s="90">
        <v>4</v>
      </c>
      <c r="L126" s="90" t="s">
        <v>1447</v>
      </c>
      <c r="M126" t="s">
        <v>986</v>
      </c>
      <c r="O126" s="146">
        <f t="shared" si="10"/>
        <v>9</v>
      </c>
      <c r="P126" s="146">
        <f t="shared" si="11"/>
        <v>12</v>
      </c>
      <c r="Q126" s="146">
        <f t="shared" si="12"/>
        <v>12</v>
      </c>
      <c r="R126" s="146">
        <f t="shared" si="13"/>
        <v>9</v>
      </c>
      <c r="S126" s="146">
        <f t="shared" si="14"/>
        <v>6</v>
      </c>
      <c r="T126" s="146">
        <f t="shared" si="15"/>
        <v>6</v>
      </c>
      <c r="U126" s="146">
        <f t="shared" si="16"/>
        <v>18</v>
      </c>
      <c r="V126" s="146" t="e">
        <f t="shared" si="17"/>
        <v>#VALUE!</v>
      </c>
      <c r="W126" s="90">
        <f t="shared" si="18"/>
        <v>0</v>
      </c>
      <c r="X126" s="90">
        <f t="shared" si="19"/>
        <v>4</v>
      </c>
    </row>
    <row r="127" spans="1:24">
      <c r="A127" t="s">
        <v>987</v>
      </c>
      <c r="B127" s="147">
        <v>11</v>
      </c>
      <c r="C127" s="147">
        <v>2</v>
      </c>
      <c r="D127" s="90">
        <v>4</v>
      </c>
      <c r="E127" s="90">
        <v>13</v>
      </c>
      <c r="F127" s="90" t="s">
        <v>1668</v>
      </c>
      <c r="G127" s="147">
        <v>2</v>
      </c>
      <c r="H127" s="147">
        <v>4</v>
      </c>
      <c r="I127" s="90">
        <v>4</v>
      </c>
      <c r="J127" s="90">
        <v>6</v>
      </c>
      <c r="K127" s="90" t="s">
        <v>901</v>
      </c>
      <c r="L127" s="90" t="s">
        <v>1817</v>
      </c>
      <c r="M127" t="s">
        <v>1154</v>
      </c>
      <c r="O127" s="146">
        <f t="shared" si="10"/>
        <v>39</v>
      </c>
      <c r="P127" s="146">
        <f t="shared" si="11"/>
        <v>12</v>
      </c>
      <c r="Q127" s="146">
        <f t="shared" si="12"/>
        <v>12</v>
      </c>
      <c r="R127" s="146">
        <f t="shared" si="13"/>
        <v>33</v>
      </c>
      <c r="S127" s="146">
        <f t="shared" si="14"/>
        <v>6</v>
      </c>
      <c r="T127" s="146">
        <f t="shared" si="15"/>
        <v>12</v>
      </c>
      <c r="U127" s="146">
        <f t="shared" si="16"/>
        <v>18</v>
      </c>
      <c r="V127" s="146" t="e">
        <f t="shared" si="17"/>
        <v>#VALUE!</v>
      </c>
      <c r="W127" s="90">
        <f t="shared" si="18"/>
        <v>2</v>
      </c>
      <c r="X127" s="90">
        <f t="shared" si="19"/>
        <v>4</v>
      </c>
    </row>
    <row r="128" spans="1:24">
      <c r="A128" t="s">
        <v>1155</v>
      </c>
      <c r="B128" s="99">
        <v>1</v>
      </c>
      <c r="D128" s="90">
        <v>4</v>
      </c>
      <c r="E128" s="90">
        <v>0</v>
      </c>
      <c r="F128" s="90" t="s">
        <v>1668</v>
      </c>
      <c r="G128" s="147">
        <v>1</v>
      </c>
      <c r="H128" s="147">
        <v>4</v>
      </c>
      <c r="I128" s="90">
        <v>1</v>
      </c>
      <c r="J128" s="90">
        <v>6</v>
      </c>
      <c r="K128" s="90">
        <v>4</v>
      </c>
      <c r="L128" s="90" t="s">
        <v>1156</v>
      </c>
      <c r="M128" t="s">
        <v>1012</v>
      </c>
      <c r="O128" s="146">
        <f t="shared" si="10"/>
        <v>0</v>
      </c>
      <c r="P128" s="146">
        <f t="shared" si="11"/>
        <v>12</v>
      </c>
      <c r="Q128" s="146">
        <f t="shared" si="12"/>
        <v>12</v>
      </c>
      <c r="R128" s="146">
        <f t="shared" si="13"/>
        <v>3</v>
      </c>
      <c r="S128" s="146">
        <f t="shared" si="14"/>
        <v>3</v>
      </c>
      <c r="T128" s="146">
        <f t="shared" si="15"/>
        <v>3</v>
      </c>
      <c r="U128" s="146">
        <f t="shared" si="16"/>
        <v>18</v>
      </c>
      <c r="V128" s="146" t="e">
        <f t="shared" si="17"/>
        <v>#VALUE!</v>
      </c>
      <c r="W128" s="90">
        <f t="shared" si="18"/>
        <v>0</v>
      </c>
      <c r="X128" s="90">
        <f t="shared" si="19"/>
        <v>4</v>
      </c>
    </row>
    <row r="129" spans="1:24">
      <c r="A129" t="s">
        <v>1013</v>
      </c>
      <c r="B129" s="99">
        <v>3</v>
      </c>
      <c r="D129" s="90">
        <v>3</v>
      </c>
      <c r="E129" s="90">
        <v>3</v>
      </c>
      <c r="F129" s="90" t="s">
        <v>1668</v>
      </c>
      <c r="G129" s="147">
        <v>1</v>
      </c>
      <c r="H129" s="147">
        <v>3</v>
      </c>
      <c r="I129" s="90">
        <v>3</v>
      </c>
      <c r="J129" s="90">
        <v>6</v>
      </c>
      <c r="K129" s="90">
        <v>5</v>
      </c>
      <c r="L129" s="90" t="s">
        <v>1447</v>
      </c>
      <c r="M129" t="s">
        <v>1014</v>
      </c>
      <c r="O129" s="146">
        <f t="shared" si="10"/>
        <v>9</v>
      </c>
      <c r="P129" s="146">
        <f t="shared" si="11"/>
        <v>9</v>
      </c>
      <c r="Q129" s="146">
        <f t="shared" si="12"/>
        <v>9</v>
      </c>
      <c r="R129" s="146">
        <f t="shared" si="13"/>
        <v>9</v>
      </c>
      <c r="S129" s="146">
        <f t="shared" si="14"/>
        <v>3</v>
      </c>
      <c r="T129" s="146">
        <f t="shared" si="15"/>
        <v>9</v>
      </c>
      <c r="U129" s="146">
        <f t="shared" si="16"/>
        <v>18</v>
      </c>
      <c r="V129" s="146" t="e">
        <f t="shared" si="17"/>
        <v>#VALUE!</v>
      </c>
      <c r="W129" s="90">
        <f t="shared" si="18"/>
        <v>0</v>
      </c>
      <c r="X129" s="90">
        <f t="shared" si="19"/>
        <v>3</v>
      </c>
    </row>
    <row r="130" spans="1:24">
      <c r="A130" t="s">
        <v>1015</v>
      </c>
      <c r="B130" s="147">
        <v>2</v>
      </c>
      <c r="C130" s="147">
        <v>1</v>
      </c>
      <c r="D130" s="90">
        <v>4</v>
      </c>
      <c r="E130" s="90">
        <v>2</v>
      </c>
      <c r="F130" s="90" t="s">
        <v>1668</v>
      </c>
      <c r="G130" s="147">
        <v>1</v>
      </c>
      <c r="H130" s="147">
        <v>2</v>
      </c>
      <c r="I130" s="90">
        <v>3</v>
      </c>
      <c r="J130" s="90">
        <v>3</v>
      </c>
      <c r="K130" s="90">
        <v>2</v>
      </c>
      <c r="L130" s="90" t="s">
        <v>1408</v>
      </c>
      <c r="M130" t="s">
        <v>993</v>
      </c>
      <c r="O130" s="146">
        <f t="shared" si="10"/>
        <v>6</v>
      </c>
      <c r="P130" s="146">
        <f t="shared" si="11"/>
        <v>12</v>
      </c>
      <c r="Q130" s="146">
        <f t="shared" si="12"/>
        <v>12</v>
      </c>
      <c r="R130" s="146">
        <f t="shared" si="13"/>
        <v>6</v>
      </c>
      <c r="S130" s="146">
        <f t="shared" si="14"/>
        <v>3</v>
      </c>
      <c r="T130" s="146">
        <f t="shared" si="15"/>
        <v>9</v>
      </c>
      <c r="U130" s="146">
        <f t="shared" si="16"/>
        <v>9</v>
      </c>
      <c r="V130" s="146" t="e">
        <f t="shared" si="17"/>
        <v>#VALUE!</v>
      </c>
      <c r="W130" s="90">
        <f t="shared" si="18"/>
        <v>1</v>
      </c>
      <c r="X130" s="90">
        <f t="shared" si="19"/>
        <v>2</v>
      </c>
    </row>
    <row r="131" spans="1:24">
      <c r="A131" t="s">
        <v>891</v>
      </c>
      <c r="B131" s="99">
        <v>5</v>
      </c>
      <c r="D131" s="90">
        <v>5</v>
      </c>
      <c r="E131" s="90">
        <v>5</v>
      </c>
      <c r="F131" s="90" t="s">
        <v>1668</v>
      </c>
      <c r="G131" s="147">
        <v>2</v>
      </c>
      <c r="H131" s="147">
        <v>4</v>
      </c>
      <c r="I131" s="90">
        <v>2</v>
      </c>
      <c r="J131" s="90">
        <v>6</v>
      </c>
      <c r="K131" s="90" t="s">
        <v>1654</v>
      </c>
      <c r="L131" s="90" t="s">
        <v>1671</v>
      </c>
      <c r="M131" t="s">
        <v>1010</v>
      </c>
      <c r="O131" s="146">
        <f t="shared" ref="O131:O194" si="20">E131*3</f>
        <v>15</v>
      </c>
      <c r="P131" s="146">
        <f t="shared" ref="P131:P194" si="21">D131*3</f>
        <v>15</v>
      </c>
      <c r="Q131" s="146">
        <f t="shared" ref="Q131:Q194" si="22">D131*3</f>
        <v>15</v>
      </c>
      <c r="R131" s="146">
        <f t="shared" ref="R131:R194" si="23">B131*3</f>
        <v>15</v>
      </c>
      <c r="S131" s="146">
        <f t="shared" ref="S131:S194" si="24">G131*3</f>
        <v>6</v>
      </c>
      <c r="T131" s="146">
        <f t="shared" ref="T131:T194" si="25">I131*3</f>
        <v>6</v>
      </c>
      <c r="U131" s="146">
        <f t="shared" ref="U131:U194" si="26">J131*3</f>
        <v>18</v>
      </c>
      <c r="V131" s="146" t="e">
        <f t="shared" ref="V131:V194" si="27">F131*3</f>
        <v>#VALUE!</v>
      </c>
      <c r="W131" s="90">
        <f t="shared" ref="W131:W194" si="28">C131</f>
        <v>0</v>
      </c>
      <c r="X131" s="90">
        <f t="shared" ref="X131:X194" si="29">H131</f>
        <v>4</v>
      </c>
    </row>
    <row r="132" spans="1:24">
      <c r="A132" t="s">
        <v>1011</v>
      </c>
      <c r="B132" s="99">
        <v>5</v>
      </c>
      <c r="D132" s="90">
        <v>6</v>
      </c>
      <c r="E132" s="90">
        <v>2</v>
      </c>
      <c r="F132" s="90">
        <v>4</v>
      </c>
      <c r="G132" s="99">
        <v>4</v>
      </c>
      <c r="H132" s="99">
        <v>4</v>
      </c>
      <c r="I132" s="90">
        <v>4</v>
      </c>
      <c r="J132" s="90" t="s">
        <v>1892</v>
      </c>
      <c r="K132" s="90" t="s">
        <v>2214</v>
      </c>
      <c r="L132" s="90" t="s">
        <v>1678</v>
      </c>
      <c r="M132" t="s">
        <v>1610</v>
      </c>
      <c r="O132" s="146">
        <f t="shared" si="20"/>
        <v>6</v>
      </c>
      <c r="P132" s="146">
        <f t="shared" si="21"/>
        <v>18</v>
      </c>
      <c r="Q132" s="146">
        <f t="shared" si="22"/>
        <v>18</v>
      </c>
      <c r="R132" s="146">
        <f t="shared" si="23"/>
        <v>15</v>
      </c>
      <c r="S132" s="146">
        <f t="shared" si="24"/>
        <v>12</v>
      </c>
      <c r="T132" s="146">
        <f t="shared" si="25"/>
        <v>12</v>
      </c>
      <c r="U132" s="146" t="e">
        <f t="shared" si="26"/>
        <v>#VALUE!</v>
      </c>
      <c r="V132" s="146">
        <f t="shared" si="27"/>
        <v>12</v>
      </c>
      <c r="W132" s="90">
        <f t="shared" si="28"/>
        <v>0</v>
      </c>
      <c r="X132" s="90">
        <f t="shared" si="29"/>
        <v>4</v>
      </c>
    </row>
    <row r="133" spans="1:24">
      <c r="A133" t="s">
        <v>1611</v>
      </c>
      <c r="B133" s="99">
        <v>4</v>
      </c>
      <c r="D133" s="90">
        <v>4</v>
      </c>
      <c r="E133" s="90">
        <v>4</v>
      </c>
      <c r="F133" s="90" t="s">
        <v>1668</v>
      </c>
      <c r="G133" s="147">
        <v>2</v>
      </c>
      <c r="H133" s="147">
        <v>3</v>
      </c>
      <c r="I133" s="90">
        <v>3</v>
      </c>
      <c r="J133" s="90">
        <v>-6</v>
      </c>
      <c r="K133" s="90">
        <v>5</v>
      </c>
      <c r="L133" s="90" t="s">
        <v>1366</v>
      </c>
      <c r="M133" t="s">
        <v>1913</v>
      </c>
      <c r="O133" s="146">
        <f t="shared" si="20"/>
        <v>12</v>
      </c>
      <c r="P133" s="146">
        <f t="shared" si="21"/>
        <v>12</v>
      </c>
      <c r="Q133" s="146">
        <f t="shared" si="22"/>
        <v>12</v>
      </c>
      <c r="R133" s="146">
        <f t="shared" si="23"/>
        <v>12</v>
      </c>
      <c r="S133" s="146">
        <f t="shared" si="24"/>
        <v>6</v>
      </c>
      <c r="T133" s="146">
        <f t="shared" si="25"/>
        <v>9</v>
      </c>
      <c r="U133" s="146">
        <f t="shared" si="26"/>
        <v>-18</v>
      </c>
      <c r="V133" s="146" t="e">
        <f t="shared" si="27"/>
        <v>#VALUE!</v>
      </c>
      <c r="W133" s="90">
        <f t="shared" si="28"/>
        <v>0</v>
      </c>
      <c r="X133" s="90">
        <f t="shared" si="29"/>
        <v>3</v>
      </c>
    </row>
    <row r="134" spans="1:24">
      <c r="A134" t="s">
        <v>1914</v>
      </c>
      <c r="B134" s="147">
        <v>12</v>
      </c>
      <c r="C134" s="147">
        <v>1</v>
      </c>
      <c r="D134" s="90">
        <v>4</v>
      </c>
      <c r="E134" s="90">
        <v>7</v>
      </c>
      <c r="F134" s="90" t="s">
        <v>1668</v>
      </c>
      <c r="G134" s="147">
        <v>1</v>
      </c>
      <c r="H134" s="147">
        <v>3</v>
      </c>
      <c r="I134" s="90">
        <v>3</v>
      </c>
      <c r="J134" s="90">
        <v>6</v>
      </c>
      <c r="K134" s="90">
        <v>3</v>
      </c>
      <c r="L134" s="90" t="s">
        <v>1896</v>
      </c>
      <c r="O134" s="146">
        <f t="shared" si="20"/>
        <v>21</v>
      </c>
      <c r="P134" s="146">
        <f t="shared" si="21"/>
        <v>12</v>
      </c>
      <c r="Q134" s="146">
        <f t="shared" si="22"/>
        <v>12</v>
      </c>
      <c r="R134" s="146">
        <f t="shared" si="23"/>
        <v>36</v>
      </c>
      <c r="S134" s="146">
        <f t="shared" si="24"/>
        <v>3</v>
      </c>
      <c r="T134" s="146">
        <f t="shared" si="25"/>
        <v>9</v>
      </c>
      <c r="U134" s="146">
        <f t="shared" si="26"/>
        <v>18</v>
      </c>
      <c r="V134" s="146" t="e">
        <f t="shared" si="27"/>
        <v>#VALUE!</v>
      </c>
      <c r="W134" s="90">
        <f t="shared" si="28"/>
        <v>1</v>
      </c>
      <c r="X134" s="90">
        <f t="shared" si="29"/>
        <v>3</v>
      </c>
    </row>
    <row r="135" spans="1:24">
      <c r="A135" t="s">
        <v>1448</v>
      </c>
      <c r="B135" s="147">
        <v>10</v>
      </c>
      <c r="C135" s="147">
        <v>2</v>
      </c>
      <c r="D135" s="90">
        <v>4</v>
      </c>
      <c r="E135" s="90">
        <v>18</v>
      </c>
      <c r="F135" s="90" t="s">
        <v>1668</v>
      </c>
      <c r="G135" s="147">
        <v>1</v>
      </c>
      <c r="H135" s="147">
        <v>4</v>
      </c>
      <c r="I135" s="90">
        <v>4</v>
      </c>
      <c r="J135" s="90">
        <v>6</v>
      </c>
      <c r="K135" s="90">
        <v>4</v>
      </c>
      <c r="L135" s="90" t="s">
        <v>1794</v>
      </c>
      <c r="M135" t="s">
        <v>1445</v>
      </c>
      <c r="O135" s="146">
        <f t="shared" si="20"/>
        <v>54</v>
      </c>
      <c r="P135" s="146">
        <f t="shared" si="21"/>
        <v>12</v>
      </c>
      <c r="Q135" s="146">
        <f t="shared" si="22"/>
        <v>12</v>
      </c>
      <c r="R135" s="146">
        <f t="shared" si="23"/>
        <v>30</v>
      </c>
      <c r="S135" s="146">
        <f t="shared" si="24"/>
        <v>3</v>
      </c>
      <c r="T135" s="146">
        <f t="shared" si="25"/>
        <v>12</v>
      </c>
      <c r="U135" s="146">
        <f t="shared" si="26"/>
        <v>18</v>
      </c>
      <c r="V135" s="146" t="e">
        <f t="shared" si="27"/>
        <v>#VALUE!</v>
      </c>
      <c r="W135" s="90">
        <f t="shared" si="28"/>
        <v>2</v>
      </c>
      <c r="X135" s="90">
        <f t="shared" si="29"/>
        <v>4</v>
      </c>
    </row>
    <row r="136" spans="1:24">
      <c r="A136" t="s">
        <v>1446</v>
      </c>
      <c r="B136" s="99">
        <v>4</v>
      </c>
      <c r="D136" s="90">
        <v>4</v>
      </c>
      <c r="E136" s="90">
        <v>5</v>
      </c>
      <c r="F136" s="90" t="s">
        <v>1668</v>
      </c>
      <c r="G136" s="99">
        <v>3</v>
      </c>
      <c r="H136" s="99">
        <v>3</v>
      </c>
      <c r="I136" s="90">
        <v>6</v>
      </c>
      <c r="J136" s="90">
        <v>4</v>
      </c>
      <c r="K136" s="90" t="s">
        <v>1654</v>
      </c>
      <c r="L136" s="90" t="s">
        <v>1623</v>
      </c>
      <c r="M136" t="s">
        <v>1162</v>
      </c>
      <c r="O136" s="146">
        <f t="shared" si="20"/>
        <v>15</v>
      </c>
      <c r="P136" s="146">
        <f t="shared" si="21"/>
        <v>12</v>
      </c>
      <c r="Q136" s="146">
        <f t="shared" si="22"/>
        <v>12</v>
      </c>
      <c r="R136" s="146">
        <f t="shared" si="23"/>
        <v>12</v>
      </c>
      <c r="S136" s="146">
        <f t="shared" si="24"/>
        <v>9</v>
      </c>
      <c r="T136" s="146">
        <f t="shared" si="25"/>
        <v>18</v>
      </c>
      <c r="U136" s="146">
        <f t="shared" si="26"/>
        <v>12</v>
      </c>
      <c r="V136" s="146" t="e">
        <f t="shared" si="27"/>
        <v>#VALUE!</v>
      </c>
      <c r="W136" s="90">
        <f t="shared" si="28"/>
        <v>0</v>
      </c>
      <c r="X136" s="90">
        <f t="shared" si="29"/>
        <v>3</v>
      </c>
    </row>
    <row r="137" spans="1:24">
      <c r="A137" t="s">
        <v>1163</v>
      </c>
      <c r="B137" s="99">
        <v>3</v>
      </c>
      <c r="D137" s="90">
        <v>8</v>
      </c>
      <c r="E137" s="90">
        <v>4</v>
      </c>
      <c r="F137" s="90" t="s">
        <v>1668</v>
      </c>
      <c r="G137" s="147">
        <v>3</v>
      </c>
      <c r="H137" s="147">
        <v>5</v>
      </c>
      <c r="I137" s="90">
        <v>5</v>
      </c>
      <c r="J137" s="90">
        <v>-5</v>
      </c>
      <c r="K137" s="90">
        <v>5</v>
      </c>
      <c r="L137" s="90" t="s">
        <v>1038</v>
      </c>
      <c r="M137" t="s">
        <v>841</v>
      </c>
      <c r="O137" s="146">
        <f t="shared" si="20"/>
        <v>12</v>
      </c>
      <c r="P137" s="146">
        <f t="shared" si="21"/>
        <v>24</v>
      </c>
      <c r="Q137" s="146">
        <f t="shared" si="22"/>
        <v>24</v>
      </c>
      <c r="R137" s="146">
        <f t="shared" si="23"/>
        <v>9</v>
      </c>
      <c r="S137" s="146">
        <f t="shared" si="24"/>
        <v>9</v>
      </c>
      <c r="T137" s="146">
        <f t="shared" si="25"/>
        <v>15</v>
      </c>
      <c r="U137" s="146">
        <f t="shared" si="26"/>
        <v>-15</v>
      </c>
      <c r="V137" s="146" t="e">
        <f t="shared" si="27"/>
        <v>#VALUE!</v>
      </c>
      <c r="W137" s="90">
        <f t="shared" si="28"/>
        <v>0</v>
      </c>
      <c r="X137" s="90">
        <f t="shared" si="29"/>
        <v>5</v>
      </c>
    </row>
    <row r="138" spans="1:24">
      <c r="A138" t="s">
        <v>1981</v>
      </c>
      <c r="B138" s="147">
        <v>11</v>
      </c>
      <c r="C138" s="147">
        <v>1</v>
      </c>
      <c r="D138" s="90">
        <v>4</v>
      </c>
      <c r="E138" s="90">
        <v>9</v>
      </c>
      <c r="F138" s="90" t="s">
        <v>1668</v>
      </c>
      <c r="G138" s="147">
        <v>2</v>
      </c>
      <c r="H138" s="147">
        <v>4</v>
      </c>
      <c r="I138" s="90">
        <v>3</v>
      </c>
      <c r="J138" s="90">
        <v>-6</v>
      </c>
      <c r="K138" s="90">
        <v>4</v>
      </c>
      <c r="L138" s="90" t="s">
        <v>1889</v>
      </c>
      <c r="M138" t="s">
        <v>1133</v>
      </c>
      <c r="O138" s="146">
        <f t="shared" si="20"/>
        <v>27</v>
      </c>
      <c r="P138" s="146">
        <f t="shared" si="21"/>
        <v>12</v>
      </c>
      <c r="Q138" s="146">
        <f t="shared" si="22"/>
        <v>12</v>
      </c>
      <c r="R138" s="146">
        <f t="shared" si="23"/>
        <v>33</v>
      </c>
      <c r="S138" s="146">
        <f t="shared" si="24"/>
        <v>6</v>
      </c>
      <c r="T138" s="146">
        <f t="shared" si="25"/>
        <v>9</v>
      </c>
      <c r="U138" s="146">
        <f t="shared" si="26"/>
        <v>-18</v>
      </c>
      <c r="V138" s="146" t="e">
        <f t="shared" si="27"/>
        <v>#VALUE!</v>
      </c>
      <c r="W138" s="90">
        <f t="shared" si="28"/>
        <v>1</v>
      </c>
      <c r="X138" s="90">
        <f t="shared" si="29"/>
        <v>4</v>
      </c>
    </row>
    <row r="139" spans="1:24">
      <c r="A139" t="s">
        <v>1893</v>
      </c>
      <c r="B139" s="99">
        <v>2</v>
      </c>
      <c r="D139" s="90">
        <v>3</v>
      </c>
      <c r="E139" s="90">
        <v>2</v>
      </c>
      <c r="F139" s="90" t="s">
        <v>1668</v>
      </c>
      <c r="G139" s="147">
        <v>1</v>
      </c>
      <c r="H139" s="147">
        <v>4</v>
      </c>
      <c r="I139" s="90">
        <v>2</v>
      </c>
      <c r="J139" s="90">
        <v>-6</v>
      </c>
      <c r="K139" s="90">
        <v>3</v>
      </c>
      <c r="L139" s="90" t="s">
        <v>1858</v>
      </c>
      <c r="M139" t="s">
        <v>1756</v>
      </c>
      <c r="O139" s="146">
        <f t="shared" si="20"/>
        <v>6</v>
      </c>
      <c r="P139" s="146">
        <f t="shared" si="21"/>
        <v>9</v>
      </c>
      <c r="Q139" s="146">
        <f t="shared" si="22"/>
        <v>9</v>
      </c>
      <c r="R139" s="146">
        <f t="shared" si="23"/>
        <v>6</v>
      </c>
      <c r="S139" s="146">
        <f t="shared" si="24"/>
        <v>3</v>
      </c>
      <c r="T139" s="146">
        <f t="shared" si="25"/>
        <v>6</v>
      </c>
      <c r="U139" s="146">
        <f t="shared" si="26"/>
        <v>-18</v>
      </c>
      <c r="V139" s="146" t="e">
        <f t="shared" si="27"/>
        <v>#VALUE!</v>
      </c>
      <c r="W139" s="90">
        <f t="shared" si="28"/>
        <v>0</v>
      </c>
      <c r="X139" s="90">
        <f t="shared" si="29"/>
        <v>4</v>
      </c>
    </row>
    <row r="140" spans="1:24">
      <c r="A140" t="s">
        <v>1757</v>
      </c>
      <c r="B140" s="99">
        <v>2</v>
      </c>
      <c r="D140" s="90">
        <v>4</v>
      </c>
      <c r="E140" s="90">
        <v>1</v>
      </c>
      <c r="F140" s="90" t="s">
        <v>1668</v>
      </c>
      <c r="G140" s="147">
        <v>1</v>
      </c>
      <c r="H140" s="147">
        <v>4</v>
      </c>
      <c r="I140" s="90">
        <v>2</v>
      </c>
      <c r="J140" s="90">
        <v>-6</v>
      </c>
      <c r="K140" s="90">
        <v>4</v>
      </c>
      <c r="L140" s="90" t="s">
        <v>1290</v>
      </c>
      <c r="M140" t="s">
        <v>1839</v>
      </c>
      <c r="O140" s="146">
        <f t="shared" si="20"/>
        <v>3</v>
      </c>
      <c r="P140" s="146">
        <f t="shared" si="21"/>
        <v>12</v>
      </c>
      <c r="Q140" s="146">
        <f t="shared" si="22"/>
        <v>12</v>
      </c>
      <c r="R140" s="146">
        <f t="shared" si="23"/>
        <v>6</v>
      </c>
      <c r="S140" s="146">
        <f t="shared" si="24"/>
        <v>3</v>
      </c>
      <c r="T140" s="146">
        <f t="shared" si="25"/>
        <v>6</v>
      </c>
      <c r="U140" s="146">
        <f t="shared" si="26"/>
        <v>-18</v>
      </c>
      <c r="V140" s="146" t="e">
        <f t="shared" si="27"/>
        <v>#VALUE!</v>
      </c>
      <c r="W140" s="90">
        <f t="shared" si="28"/>
        <v>0</v>
      </c>
      <c r="X140" s="90">
        <f t="shared" si="29"/>
        <v>4</v>
      </c>
    </row>
    <row r="141" spans="1:24">
      <c r="A141" t="s">
        <v>1712</v>
      </c>
      <c r="B141" s="99">
        <v>2</v>
      </c>
      <c r="D141" s="90">
        <v>6</v>
      </c>
      <c r="E141" s="90">
        <v>1</v>
      </c>
      <c r="F141" s="90" t="s">
        <v>1668</v>
      </c>
      <c r="G141" s="147">
        <v>3</v>
      </c>
      <c r="H141" s="147">
        <v>4</v>
      </c>
      <c r="I141" s="90">
        <v>3</v>
      </c>
      <c r="J141" s="90" t="s">
        <v>1187</v>
      </c>
      <c r="K141" s="90" t="s">
        <v>901</v>
      </c>
      <c r="L141" s="90" t="s">
        <v>1290</v>
      </c>
      <c r="M141" t="s">
        <v>1061</v>
      </c>
      <c r="O141" s="146">
        <f t="shared" si="20"/>
        <v>3</v>
      </c>
      <c r="P141" s="146">
        <f t="shared" si="21"/>
        <v>18</v>
      </c>
      <c r="Q141" s="146">
        <f t="shared" si="22"/>
        <v>18</v>
      </c>
      <c r="R141" s="146">
        <f t="shared" si="23"/>
        <v>6</v>
      </c>
      <c r="S141" s="146">
        <f t="shared" si="24"/>
        <v>9</v>
      </c>
      <c r="T141" s="146">
        <f t="shared" si="25"/>
        <v>9</v>
      </c>
      <c r="U141" s="146" t="e">
        <f t="shared" si="26"/>
        <v>#VALUE!</v>
      </c>
      <c r="V141" s="146" t="e">
        <f t="shared" si="27"/>
        <v>#VALUE!</v>
      </c>
      <c r="W141" s="90">
        <f t="shared" si="28"/>
        <v>0</v>
      </c>
      <c r="X141" s="90">
        <f t="shared" si="29"/>
        <v>4</v>
      </c>
    </row>
    <row r="142" spans="1:24">
      <c r="A142" t="s">
        <v>1062</v>
      </c>
      <c r="B142" s="99">
        <v>2</v>
      </c>
      <c r="D142" s="90">
        <v>4</v>
      </c>
      <c r="E142" s="90">
        <v>2</v>
      </c>
      <c r="F142" s="90" t="s">
        <v>1668</v>
      </c>
      <c r="G142" s="147">
        <v>2</v>
      </c>
      <c r="H142" s="147">
        <v>4</v>
      </c>
      <c r="I142" s="90">
        <v>3</v>
      </c>
      <c r="J142" s="90">
        <v>-6</v>
      </c>
      <c r="K142" s="90">
        <v>6</v>
      </c>
      <c r="L142" s="90" t="s">
        <v>1038</v>
      </c>
      <c r="M142" t="s">
        <v>948</v>
      </c>
      <c r="O142" s="146">
        <f t="shared" si="20"/>
        <v>6</v>
      </c>
      <c r="P142" s="146">
        <f t="shared" si="21"/>
        <v>12</v>
      </c>
      <c r="Q142" s="146">
        <f t="shared" si="22"/>
        <v>12</v>
      </c>
      <c r="R142" s="146">
        <f t="shared" si="23"/>
        <v>6</v>
      </c>
      <c r="S142" s="146">
        <f t="shared" si="24"/>
        <v>6</v>
      </c>
      <c r="T142" s="146">
        <f t="shared" si="25"/>
        <v>9</v>
      </c>
      <c r="U142" s="146">
        <f t="shared" si="26"/>
        <v>-18</v>
      </c>
      <c r="V142" s="146" t="e">
        <f t="shared" si="27"/>
        <v>#VALUE!</v>
      </c>
      <c r="W142" s="90">
        <f t="shared" si="28"/>
        <v>0</v>
      </c>
      <c r="X142" s="90">
        <f t="shared" si="29"/>
        <v>4</v>
      </c>
    </row>
    <row r="143" spans="1:24">
      <c r="A143" t="s">
        <v>949</v>
      </c>
      <c r="B143" s="99">
        <v>1</v>
      </c>
      <c r="D143" s="90">
        <v>4</v>
      </c>
      <c r="E143" s="90">
        <v>1</v>
      </c>
      <c r="F143" s="90" t="s">
        <v>1668</v>
      </c>
      <c r="G143" s="147">
        <v>2</v>
      </c>
      <c r="H143" s="147">
        <v>4</v>
      </c>
      <c r="I143" s="90">
        <v>4</v>
      </c>
      <c r="J143" s="90">
        <v>-6</v>
      </c>
      <c r="K143" s="90" t="s">
        <v>2039</v>
      </c>
      <c r="L143" s="90" t="s">
        <v>1034</v>
      </c>
      <c r="O143" s="146">
        <f t="shared" si="20"/>
        <v>3</v>
      </c>
      <c r="P143" s="146">
        <f t="shared" si="21"/>
        <v>12</v>
      </c>
      <c r="Q143" s="146">
        <f t="shared" si="22"/>
        <v>12</v>
      </c>
      <c r="R143" s="146">
        <f t="shared" si="23"/>
        <v>3</v>
      </c>
      <c r="S143" s="146">
        <f t="shared" si="24"/>
        <v>6</v>
      </c>
      <c r="T143" s="146">
        <f t="shared" si="25"/>
        <v>12</v>
      </c>
      <c r="U143" s="146">
        <f t="shared" si="26"/>
        <v>-18</v>
      </c>
      <c r="V143" s="146" t="e">
        <f t="shared" si="27"/>
        <v>#VALUE!</v>
      </c>
      <c r="W143" s="90">
        <f t="shared" si="28"/>
        <v>0</v>
      </c>
      <c r="X143" s="90">
        <f t="shared" si="29"/>
        <v>4</v>
      </c>
    </row>
    <row r="144" spans="1:24">
      <c r="A144" t="s">
        <v>951</v>
      </c>
      <c r="B144" s="99">
        <v>7</v>
      </c>
      <c r="D144" s="90">
        <v>9</v>
      </c>
      <c r="E144" s="90">
        <v>7</v>
      </c>
      <c r="F144" s="90" t="s">
        <v>1668</v>
      </c>
      <c r="G144" s="147">
        <v>2</v>
      </c>
      <c r="H144" s="147">
        <v>4</v>
      </c>
      <c r="I144" s="90">
        <v>4</v>
      </c>
      <c r="J144" s="90">
        <v>-6</v>
      </c>
      <c r="K144" s="90" t="s">
        <v>1031</v>
      </c>
      <c r="L144" s="90" t="s">
        <v>1164</v>
      </c>
      <c r="M144" t="s">
        <v>1179</v>
      </c>
      <c r="O144" s="146">
        <f t="shared" si="20"/>
        <v>21</v>
      </c>
      <c r="P144" s="146">
        <f t="shared" si="21"/>
        <v>27</v>
      </c>
      <c r="Q144" s="146">
        <f t="shared" si="22"/>
        <v>27</v>
      </c>
      <c r="R144" s="146">
        <f t="shared" si="23"/>
        <v>21</v>
      </c>
      <c r="S144" s="146">
        <f t="shared" si="24"/>
        <v>6</v>
      </c>
      <c r="T144" s="146">
        <f t="shared" si="25"/>
        <v>12</v>
      </c>
      <c r="U144" s="146">
        <f t="shared" si="26"/>
        <v>-18</v>
      </c>
      <c r="V144" s="146" t="e">
        <f t="shared" si="27"/>
        <v>#VALUE!</v>
      </c>
      <c r="W144" s="90">
        <f t="shared" si="28"/>
        <v>0</v>
      </c>
      <c r="X144" s="90">
        <f t="shared" si="29"/>
        <v>4</v>
      </c>
    </row>
    <row r="145" spans="1:24">
      <c r="A145" t="s">
        <v>1180</v>
      </c>
      <c r="B145" s="147" t="s">
        <v>1181</v>
      </c>
      <c r="C145" s="147"/>
      <c r="D145" s="90">
        <v>5</v>
      </c>
      <c r="E145" s="90">
        <v>6</v>
      </c>
      <c r="F145" s="90" t="s">
        <v>1668</v>
      </c>
      <c r="G145" s="147">
        <v>1</v>
      </c>
      <c r="H145" s="147">
        <v>3</v>
      </c>
      <c r="I145" s="90">
        <v>3</v>
      </c>
      <c r="J145" s="90">
        <v>6</v>
      </c>
      <c r="K145" s="90">
        <v>5</v>
      </c>
      <c r="L145" s="90" t="s">
        <v>1032</v>
      </c>
      <c r="M145" t="s">
        <v>1182</v>
      </c>
      <c r="O145" s="146">
        <f t="shared" si="20"/>
        <v>18</v>
      </c>
      <c r="P145" s="146">
        <f t="shared" si="21"/>
        <v>15</v>
      </c>
      <c r="Q145" s="146">
        <f t="shared" si="22"/>
        <v>15</v>
      </c>
      <c r="R145" s="146">
        <f t="shared" si="23"/>
        <v>21</v>
      </c>
      <c r="S145" s="146">
        <f t="shared" si="24"/>
        <v>3</v>
      </c>
      <c r="T145" s="146">
        <f t="shared" si="25"/>
        <v>9</v>
      </c>
      <c r="U145" s="146">
        <f t="shared" si="26"/>
        <v>18</v>
      </c>
      <c r="V145" s="146" t="e">
        <f t="shared" si="27"/>
        <v>#VALUE!</v>
      </c>
      <c r="W145" s="90">
        <f t="shared" si="28"/>
        <v>0</v>
      </c>
      <c r="X145" s="90">
        <f t="shared" si="29"/>
        <v>3</v>
      </c>
    </row>
    <row r="146" spans="1:24">
      <c r="A146" t="s">
        <v>1329</v>
      </c>
      <c r="C146" s="99">
        <v>2</v>
      </c>
      <c r="D146" s="90" t="s">
        <v>2086</v>
      </c>
      <c r="E146" s="90" t="s">
        <v>2128</v>
      </c>
      <c r="F146" s="90" t="s">
        <v>1302</v>
      </c>
      <c r="G146" s="99" t="s">
        <v>1302</v>
      </c>
      <c r="H146" s="99" t="s">
        <v>1302</v>
      </c>
      <c r="I146" s="90" t="s">
        <v>1302</v>
      </c>
      <c r="J146" s="90" t="s">
        <v>1303</v>
      </c>
      <c r="K146" s="90" t="s">
        <v>1300</v>
      </c>
      <c r="L146" s="90" t="s">
        <v>1896</v>
      </c>
      <c r="M146" t="s">
        <v>1436</v>
      </c>
      <c r="O146" s="146" t="e">
        <f t="shared" si="20"/>
        <v>#VALUE!</v>
      </c>
      <c r="P146" s="146" t="e">
        <f t="shared" si="21"/>
        <v>#VALUE!</v>
      </c>
      <c r="Q146" s="146" t="e">
        <f t="shared" si="22"/>
        <v>#VALUE!</v>
      </c>
      <c r="R146" s="146">
        <f t="shared" si="23"/>
        <v>0</v>
      </c>
      <c r="S146" s="146" t="e">
        <f t="shared" si="24"/>
        <v>#VALUE!</v>
      </c>
      <c r="T146" s="146" t="e">
        <f t="shared" si="25"/>
        <v>#VALUE!</v>
      </c>
      <c r="U146" s="146" t="e">
        <f t="shared" si="26"/>
        <v>#VALUE!</v>
      </c>
      <c r="V146" s="146" t="e">
        <f t="shared" si="27"/>
        <v>#VALUE!</v>
      </c>
      <c r="W146" s="90">
        <f t="shared" si="28"/>
        <v>2</v>
      </c>
      <c r="X146" s="90" t="str">
        <f t="shared" si="29"/>
        <v>F</v>
      </c>
    </row>
    <row r="147" spans="1:24">
      <c r="A147" t="s">
        <v>1437</v>
      </c>
      <c r="B147" s="99" t="s">
        <v>1221</v>
      </c>
      <c r="C147" s="99" t="s">
        <v>1221</v>
      </c>
      <c r="D147" s="90" t="s">
        <v>1302</v>
      </c>
      <c r="E147" s="90" t="s">
        <v>1302</v>
      </c>
      <c r="F147" s="90" t="s">
        <v>1302</v>
      </c>
      <c r="G147" s="99" t="s">
        <v>1302</v>
      </c>
      <c r="H147" s="99" t="s">
        <v>1302</v>
      </c>
      <c r="I147" s="90" t="s">
        <v>1302</v>
      </c>
      <c r="J147" s="90" t="s">
        <v>1303</v>
      </c>
      <c r="K147" s="90" t="s">
        <v>1878</v>
      </c>
      <c r="L147" s="90" t="s">
        <v>1074</v>
      </c>
      <c r="M147" t="s">
        <v>984</v>
      </c>
      <c r="O147" s="146" t="e">
        <f t="shared" si="20"/>
        <v>#VALUE!</v>
      </c>
      <c r="P147" s="146" t="e">
        <f t="shared" si="21"/>
        <v>#VALUE!</v>
      </c>
      <c r="Q147" s="146" t="e">
        <f t="shared" si="22"/>
        <v>#VALUE!</v>
      </c>
      <c r="R147" s="146" t="e">
        <f t="shared" si="23"/>
        <v>#VALUE!</v>
      </c>
      <c r="S147" s="146" t="e">
        <f t="shared" si="24"/>
        <v>#VALUE!</v>
      </c>
      <c r="T147" s="146" t="e">
        <f t="shared" si="25"/>
        <v>#VALUE!</v>
      </c>
      <c r="U147" s="146" t="e">
        <f t="shared" si="26"/>
        <v>#VALUE!</v>
      </c>
      <c r="V147" s="146" t="e">
        <f t="shared" si="27"/>
        <v>#VALUE!</v>
      </c>
      <c r="W147" s="90" t="str">
        <f t="shared" si="28"/>
        <v>F+2</v>
      </c>
      <c r="X147" s="90" t="str">
        <f t="shared" si="29"/>
        <v>F</v>
      </c>
    </row>
    <row r="148" spans="1:24">
      <c r="A148" t="s">
        <v>985</v>
      </c>
      <c r="B148" s="99">
        <v>3</v>
      </c>
      <c r="D148" s="90">
        <v>3</v>
      </c>
      <c r="E148" s="90">
        <v>2</v>
      </c>
      <c r="F148" s="90">
        <v>2</v>
      </c>
      <c r="G148" s="147">
        <v>3</v>
      </c>
      <c r="H148" s="147">
        <v>4</v>
      </c>
      <c r="I148" s="90">
        <v>3</v>
      </c>
      <c r="J148" s="90">
        <v>6</v>
      </c>
      <c r="K148" s="90">
        <v>3</v>
      </c>
      <c r="L148" s="90" t="s">
        <v>1746</v>
      </c>
      <c r="M148" t="s">
        <v>893</v>
      </c>
      <c r="O148" s="146">
        <f t="shared" si="20"/>
        <v>6</v>
      </c>
      <c r="P148" s="146">
        <f t="shared" si="21"/>
        <v>9</v>
      </c>
      <c r="Q148" s="146">
        <f t="shared" si="22"/>
        <v>9</v>
      </c>
      <c r="R148" s="146">
        <f t="shared" si="23"/>
        <v>9</v>
      </c>
      <c r="S148" s="146">
        <f t="shared" si="24"/>
        <v>9</v>
      </c>
      <c r="T148" s="146">
        <f t="shared" si="25"/>
        <v>9</v>
      </c>
      <c r="U148" s="146">
        <f t="shared" si="26"/>
        <v>18</v>
      </c>
      <c r="V148" s="146">
        <f t="shared" si="27"/>
        <v>6</v>
      </c>
      <c r="W148" s="90">
        <f t="shared" si="28"/>
        <v>0</v>
      </c>
      <c r="X148" s="90">
        <f t="shared" si="29"/>
        <v>4</v>
      </c>
    </row>
    <row r="149" spans="1:24">
      <c r="A149" t="s">
        <v>894</v>
      </c>
      <c r="B149" s="99">
        <v>7</v>
      </c>
      <c r="D149" s="90">
        <v>5</v>
      </c>
      <c r="E149" s="90">
        <v>9</v>
      </c>
      <c r="F149" s="90" t="s">
        <v>1668</v>
      </c>
      <c r="G149" s="147">
        <v>2</v>
      </c>
      <c r="H149" s="147">
        <v>4</v>
      </c>
      <c r="I149" s="90">
        <v>3</v>
      </c>
      <c r="J149" s="90">
        <v>-6</v>
      </c>
      <c r="K149" s="90">
        <v>4</v>
      </c>
      <c r="L149" s="90" t="s">
        <v>895</v>
      </c>
      <c r="M149" t="s">
        <v>1346</v>
      </c>
      <c r="O149" s="146">
        <f t="shared" si="20"/>
        <v>27</v>
      </c>
      <c r="P149" s="146">
        <f t="shared" si="21"/>
        <v>15</v>
      </c>
      <c r="Q149" s="146">
        <f t="shared" si="22"/>
        <v>15</v>
      </c>
      <c r="R149" s="146">
        <f t="shared" si="23"/>
        <v>21</v>
      </c>
      <c r="S149" s="146">
        <f t="shared" si="24"/>
        <v>6</v>
      </c>
      <c r="T149" s="146">
        <f t="shared" si="25"/>
        <v>9</v>
      </c>
      <c r="U149" s="146">
        <f t="shared" si="26"/>
        <v>-18</v>
      </c>
      <c r="V149" s="146" t="e">
        <f t="shared" si="27"/>
        <v>#VALUE!</v>
      </c>
      <c r="W149" s="90">
        <f t="shared" si="28"/>
        <v>0</v>
      </c>
      <c r="X149" s="90">
        <f t="shared" si="29"/>
        <v>4</v>
      </c>
    </row>
    <row r="150" spans="1:24">
      <c r="A150" t="s">
        <v>1347</v>
      </c>
      <c r="B150" s="99">
        <v>9</v>
      </c>
      <c r="D150" s="90">
        <v>4</v>
      </c>
      <c r="E150" s="90">
        <v>7</v>
      </c>
      <c r="F150" s="90">
        <v>5</v>
      </c>
      <c r="G150" s="147">
        <v>2</v>
      </c>
      <c r="H150" s="147">
        <v>4</v>
      </c>
      <c r="I150" s="90">
        <v>5</v>
      </c>
      <c r="J150" s="90">
        <v>6</v>
      </c>
      <c r="K150" s="90">
        <v>3</v>
      </c>
      <c r="L150" s="90" t="s">
        <v>1352</v>
      </c>
      <c r="M150" t="s">
        <v>1219</v>
      </c>
      <c r="O150" s="146">
        <f t="shared" si="20"/>
        <v>21</v>
      </c>
      <c r="P150" s="146">
        <f t="shared" si="21"/>
        <v>12</v>
      </c>
      <c r="Q150" s="146">
        <f t="shared" si="22"/>
        <v>12</v>
      </c>
      <c r="R150" s="146">
        <f t="shared" si="23"/>
        <v>27</v>
      </c>
      <c r="S150" s="146">
        <f t="shared" si="24"/>
        <v>6</v>
      </c>
      <c r="T150" s="146">
        <f t="shared" si="25"/>
        <v>15</v>
      </c>
      <c r="U150" s="146">
        <f t="shared" si="26"/>
        <v>18</v>
      </c>
      <c r="V150" s="146">
        <f t="shared" si="27"/>
        <v>15</v>
      </c>
      <c r="W150" s="90">
        <f t="shared" si="28"/>
        <v>0</v>
      </c>
      <c r="X150" s="90">
        <f t="shared" si="29"/>
        <v>4</v>
      </c>
    </row>
    <row r="151" spans="1:24">
      <c r="A151" t="s">
        <v>1186</v>
      </c>
      <c r="B151" s="99">
        <v>2</v>
      </c>
      <c r="D151" s="90">
        <v>4</v>
      </c>
      <c r="E151" s="90">
        <v>6</v>
      </c>
      <c r="F151" s="90" t="s">
        <v>1668</v>
      </c>
      <c r="G151" s="147">
        <v>2</v>
      </c>
      <c r="H151" s="147">
        <v>4</v>
      </c>
      <c r="I151" s="90">
        <v>3</v>
      </c>
      <c r="J151" s="90">
        <v>6</v>
      </c>
      <c r="K151" s="90">
        <v>4</v>
      </c>
      <c r="L151" s="90" t="s">
        <v>1366</v>
      </c>
      <c r="M151" t="s">
        <v>1696</v>
      </c>
      <c r="O151" s="146">
        <f t="shared" si="20"/>
        <v>18</v>
      </c>
      <c r="P151" s="146">
        <f t="shared" si="21"/>
        <v>12</v>
      </c>
      <c r="Q151" s="146">
        <f t="shared" si="22"/>
        <v>12</v>
      </c>
      <c r="R151" s="146">
        <f t="shared" si="23"/>
        <v>6</v>
      </c>
      <c r="S151" s="146">
        <f t="shared" si="24"/>
        <v>6</v>
      </c>
      <c r="T151" s="146">
        <f t="shared" si="25"/>
        <v>9</v>
      </c>
      <c r="U151" s="146">
        <f t="shared" si="26"/>
        <v>18</v>
      </c>
      <c r="V151" s="146" t="e">
        <f t="shared" si="27"/>
        <v>#VALUE!</v>
      </c>
      <c r="W151" s="90">
        <f t="shared" si="28"/>
        <v>0</v>
      </c>
      <c r="X151" s="90">
        <f t="shared" si="29"/>
        <v>4</v>
      </c>
    </row>
    <row r="152" spans="1:24">
      <c r="A152" t="s">
        <v>1079</v>
      </c>
      <c r="B152" s="99">
        <v>9</v>
      </c>
      <c r="D152" s="90">
        <v>3</v>
      </c>
      <c r="E152" s="90">
        <v>8</v>
      </c>
      <c r="F152" s="90" t="s">
        <v>1668</v>
      </c>
      <c r="G152" s="147">
        <v>2</v>
      </c>
      <c r="H152" s="147">
        <v>4</v>
      </c>
      <c r="I152" s="90">
        <v>4</v>
      </c>
      <c r="J152" s="90">
        <v>-6</v>
      </c>
      <c r="K152" s="90" t="s">
        <v>901</v>
      </c>
      <c r="L152" s="90" t="s">
        <v>1624</v>
      </c>
      <c r="M152" t="s">
        <v>1197</v>
      </c>
      <c r="O152" s="146">
        <f t="shared" si="20"/>
        <v>24</v>
      </c>
      <c r="P152" s="146">
        <f t="shared" si="21"/>
        <v>9</v>
      </c>
      <c r="Q152" s="146">
        <f t="shared" si="22"/>
        <v>9</v>
      </c>
      <c r="R152" s="146">
        <f t="shared" si="23"/>
        <v>27</v>
      </c>
      <c r="S152" s="146">
        <f t="shared" si="24"/>
        <v>6</v>
      </c>
      <c r="T152" s="146">
        <f t="shared" si="25"/>
        <v>12</v>
      </c>
      <c r="U152" s="146">
        <f t="shared" si="26"/>
        <v>-18</v>
      </c>
      <c r="V152" s="146" t="e">
        <f t="shared" si="27"/>
        <v>#VALUE!</v>
      </c>
      <c r="W152" s="90">
        <f t="shared" si="28"/>
        <v>0</v>
      </c>
      <c r="X152" s="90">
        <f t="shared" si="29"/>
        <v>4</v>
      </c>
    </row>
    <row r="153" spans="1:24">
      <c r="A153" t="s">
        <v>1328</v>
      </c>
      <c r="B153" s="147">
        <v>5</v>
      </c>
      <c r="C153" s="147">
        <v>3</v>
      </c>
      <c r="D153" s="90">
        <v>3</v>
      </c>
      <c r="E153" s="90">
        <v>5</v>
      </c>
      <c r="F153" s="90" t="s">
        <v>1668</v>
      </c>
      <c r="G153" s="147">
        <v>1</v>
      </c>
      <c r="H153" s="147">
        <v>4</v>
      </c>
      <c r="I153" s="90">
        <v>4</v>
      </c>
      <c r="J153" s="90">
        <v>6</v>
      </c>
      <c r="K153" s="90">
        <v>3</v>
      </c>
      <c r="L153" s="90" t="s">
        <v>1896</v>
      </c>
      <c r="M153" t="s">
        <v>1629</v>
      </c>
      <c r="O153" s="146">
        <f t="shared" si="20"/>
        <v>15</v>
      </c>
      <c r="P153" s="146">
        <f t="shared" si="21"/>
        <v>9</v>
      </c>
      <c r="Q153" s="146">
        <f t="shared" si="22"/>
        <v>9</v>
      </c>
      <c r="R153" s="146">
        <f t="shared" si="23"/>
        <v>15</v>
      </c>
      <c r="S153" s="146">
        <f t="shared" si="24"/>
        <v>3</v>
      </c>
      <c r="T153" s="146">
        <f t="shared" si="25"/>
        <v>12</v>
      </c>
      <c r="U153" s="146">
        <f t="shared" si="26"/>
        <v>18</v>
      </c>
      <c r="V153" s="146" t="e">
        <f t="shared" si="27"/>
        <v>#VALUE!</v>
      </c>
      <c r="W153" s="90">
        <f t="shared" si="28"/>
        <v>3</v>
      </c>
      <c r="X153" s="90">
        <f t="shared" si="29"/>
        <v>4</v>
      </c>
    </row>
    <row r="154" spans="1:24">
      <c r="A154" t="s">
        <v>1630</v>
      </c>
      <c r="B154" s="147">
        <v>10</v>
      </c>
      <c r="C154" s="147">
        <v>4</v>
      </c>
      <c r="D154" s="90">
        <v>4</v>
      </c>
      <c r="E154" s="90">
        <v>8</v>
      </c>
      <c r="F154" s="90" t="s">
        <v>1668</v>
      </c>
      <c r="G154" s="147">
        <v>2</v>
      </c>
      <c r="H154" s="147">
        <v>4</v>
      </c>
      <c r="I154" s="90">
        <v>4</v>
      </c>
      <c r="J154" s="90">
        <v>6</v>
      </c>
      <c r="K154" s="90">
        <v>3</v>
      </c>
      <c r="L154" s="90" t="s">
        <v>1273</v>
      </c>
      <c r="M154" t="s">
        <v>1628</v>
      </c>
      <c r="O154" s="146">
        <f t="shared" si="20"/>
        <v>24</v>
      </c>
      <c r="P154" s="146">
        <f t="shared" si="21"/>
        <v>12</v>
      </c>
      <c r="Q154" s="146">
        <f t="shared" si="22"/>
        <v>12</v>
      </c>
      <c r="R154" s="146">
        <f t="shared" si="23"/>
        <v>30</v>
      </c>
      <c r="S154" s="146">
        <f t="shared" si="24"/>
        <v>6</v>
      </c>
      <c r="T154" s="146">
        <f t="shared" si="25"/>
        <v>12</v>
      </c>
      <c r="U154" s="146">
        <f t="shared" si="26"/>
        <v>18</v>
      </c>
      <c r="V154" s="146" t="e">
        <f t="shared" si="27"/>
        <v>#VALUE!</v>
      </c>
      <c r="W154" s="90">
        <f t="shared" si="28"/>
        <v>4</v>
      </c>
      <c r="X154" s="90">
        <f t="shared" si="29"/>
        <v>4</v>
      </c>
    </row>
    <row r="155" spans="1:24">
      <c r="A155" t="s">
        <v>1530</v>
      </c>
      <c r="B155" s="99">
        <v>4</v>
      </c>
      <c r="D155" s="90">
        <v>6</v>
      </c>
      <c r="E155" s="90">
        <v>3</v>
      </c>
      <c r="F155" s="90">
        <v>5</v>
      </c>
      <c r="G155" s="99">
        <v>6</v>
      </c>
      <c r="H155" s="99">
        <v>6</v>
      </c>
      <c r="I155" s="90">
        <v>5</v>
      </c>
      <c r="J155" s="90">
        <v>6</v>
      </c>
      <c r="K155" s="90" t="s">
        <v>1275</v>
      </c>
      <c r="L155" s="90" t="s">
        <v>1423</v>
      </c>
      <c r="M155" t="s">
        <v>1698</v>
      </c>
      <c r="O155" s="146">
        <f t="shared" si="20"/>
        <v>9</v>
      </c>
      <c r="P155" s="146">
        <f t="shared" si="21"/>
        <v>18</v>
      </c>
      <c r="Q155" s="146">
        <f t="shared" si="22"/>
        <v>18</v>
      </c>
      <c r="R155" s="146">
        <f t="shared" si="23"/>
        <v>12</v>
      </c>
      <c r="S155" s="146">
        <f t="shared" si="24"/>
        <v>18</v>
      </c>
      <c r="T155" s="146">
        <f t="shared" si="25"/>
        <v>15</v>
      </c>
      <c r="U155" s="146">
        <f t="shared" si="26"/>
        <v>18</v>
      </c>
      <c r="V155" s="146">
        <f t="shared" si="27"/>
        <v>15</v>
      </c>
      <c r="W155" s="90">
        <f t="shared" si="28"/>
        <v>0</v>
      </c>
      <c r="X155" s="90">
        <f t="shared" si="29"/>
        <v>6</v>
      </c>
    </row>
    <row r="156" spans="1:24">
      <c r="A156" t="s">
        <v>1075</v>
      </c>
      <c r="B156" s="99">
        <v>10</v>
      </c>
      <c r="C156" s="99">
        <v>10</v>
      </c>
      <c r="D156" s="90">
        <v>5</v>
      </c>
      <c r="E156" s="90">
        <v>8</v>
      </c>
      <c r="F156" s="90">
        <v>3</v>
      </c>
      <c r="G156" s="147">
        <v>3</v>
      </c>
      <c r="H156" s="147">
        <v>5</v>
      </c>
      <c r="I156" s="90">
        <v>4</v>
      </c>
      <c r="J156" s="90">
        <v>6</v>
      </c>
      <c r="K156" s="90" t="s">
        <v>2039</v>
      </c>
      <c r="L156" s="90" t="s">
        <v>1822</v>
      </c>
      <c r="M156" t="s">
        <v>1087</v>
      </c>
      <c r="O156" s="146">
        <f t="shared" si="20"/>
        <v>24</v>
      </c>
      <c r="P156" s="146">
        <f t="shared" si="21"/>
        <v>15</v>
      </c>
      <c r="Q156" s="146">
        <f t="shared" si="22"/>
        <v>15</v>
      </c>
      <c r="R156" s="146">
        <f t="shared" si="23"/>
        <v>30</v>
      </c>
      <c r="S156" s="146">
        <f t="shared" si="24"/>
        <v>9</v>
      </c>
      <c r="T156" s="146">
        <f t="shared" si="25"/>
        <v>12</v>
      </c>
      <c r="U156" s="146">
        <f t="shared" si="26"/>
        <v>18</v>
      </c>
      <c r="V156" s="146">
        <f t="shared" si="27"/>
        <v>9</v>
      </c>
      <c r="W156" s="90">
        <f t="shared" si="28"/>
        <v>10</v>
      </c>
      <c r="X156" s="90">
        <f t="shared" si="29"/>
        <v>5</v>
      </c>
    </row>
    <row r="157" spans="1:24">
      <c r="A157" t="s">
        <v>1399</v>
      </c>
      <c r="B157" s="99">
        <v>5</v>
      </c>
      <c r="D157" s="90">
        <v>5</v>
      </c>
      <c r="E157" s="90">
        <v>5</v>
      </c>
      <c r="F157" s="90">
        <v>2</v>
      </c>
      <c r="G157" s="99">
        <v>3</v>
      </c>
      <c r="H157" s="99">
        <v>3</v>
      </c>
      <c r="I157" s="90">
        <v>7</v>
      </c>
      <c r="J157" s="90" t="s">
        <v>1400</v>
      </c>
      <c r="K157" s="90">
        <v>5</v>
      </c>
      <c r="L157" s="90" t="s">
        <v>1175</v>
      </c>
      <c r="M157" t="s">
        <v>1401</v>
      </c>
      <c r="O157" s="146">
        <f t="shared" si="20"/>
        <v>15</v>
      </c>
      <c r="P157" s="146">
        <f t="shared" si="21"/>
        <v>15</v>
      </c>
      <c r="Q157" s="146">
        <f t="shared" si="22"/>
        <v>15</v>
      </c>
      <c r="R157" s="146">
        <f t="shared" si="23"/>
        <v>15</v>
      </c>
      <c r="S157" s="146">
        <f t="shared" si="24"/>
        <v>9</v>
      </c>
      <c r="T157" s="146">
        <f t="shared" si="25"/>
        <v>21</v>
      </c>
      <c r="U157" s="146" t="e">
        <f t="shared" si="26"/>
        <v>#VALUE!</v>
      </c>
      <c r="V157" s="146">
        <f t="shared" si="27"/>
        <v>6</v>
      </c>
      <c r="W157" s="90">
        <f t="shared" si="28"/>
        <v>0</v>
      </c>
      <c r="X157" s="90">
        <f t="shared" si="29"/>
        <v>3</v>
      </c>
    </row>
    <row r="158" spans="1:24">
      <c r="A158" t="s">
        <v>1642</v>
      </c>
      <c r="B158" s="99">
        <v>2</v>
      </c>
      <c r="D158" s="90">
        <v>5</v>
      </c>
      <c r="E158" s="90">
        <v>2</v>
      </c>
      <c r="F158" s="90">
        <v>3</v>
      </c>
      <c r="G158" s="147">
        <v>3</v>
      </c>
      <c r="H158" s="147">
        <v>8</v>
      </c>
      <c r="I158" s="90">
        <v>5</v>
      </c>
      <c r="J158" s="90">
        <v>-6</v>
      </c>
      <c r="K158" s="90" t="s">
        <v>1275</v>
      </c>
      <c r="L158" s="90" t="s">
        <v>1423</v>
      </c>
      <c r="M158" t="s">
        <v>1369</v>
      </c>
      <c r="O158" s="146">
        <f t="shared" si="20"/>
        <v>6</v>
      </c>
      <c r="P158" s="146">
        <f t="shared" si="21"/>
        <v>15</v>
      </c>
      <c r="Q158" s="146">
        <f t="shared" si="22"/>
        <v>15</v>
      </c>
      <c r="R158" s="146">
        <f t="shared" si="23"/>
        <v>6</v>
      </c>
      <c r="S158" s="146">
        <f t="shared" si="24"/>
        <v>9</v>
      </c>
      <c r="T158" s="146">
        <f t="shared" si="25"/>
        <v>15</v>
      </c>
      <c r="U158" s="146">
        <f t="shared" si="26"/>
        <v>-18</v>
      </c>
      <c r="V158" s="146">
        <f t="shared" si="27"/>
        <v>9</v>
      </c>
      <c r="W158" s="90">
        <f t="shared" si="28"/>
        <v>0</v>
      </c>
      <c r="X158" s="90">
        <f t="shared" si="29"/>
        <v>8</v>
      </c>
    </row>
    <row r="159" spans="1:24">
      <c r="A159" t="s">
        <v>1217</v>
      </c>
      <c r="B159" s="99">
        <v>5</v>
      </c>
      <c r="D159" s="90">
        <v>5</v>
      </c>
      <c r="E159" s="90">
        <v>5</v>
      </c>
      <c r="F159" s="145">
        <v>19029</v>
      </c>
      <c r="G159" s="99">
        <v>2</v>
      </c>
      <c r="H159" s="99">
        <v>2</v>
      </c>
      <c r="I159" s="90">
        <v>5</v>
      </c>
      <c r="J159" s="90" t="s">
        <v>1213</v>
      </c>
      <c r="K159" s="90">
        <v>6</v>
      </c>
      <c r="L159" s="90" t="s">
        <v>1175</v>
      </c>
      <c r="M159" t="s">
        <v>1369</v>
      </c>
      <c r="O159" s="146">
        <f t="shared" si="20"/>
        <v>15</v>
      </c>
      <c r="P159" s="146">
        <f t="shared" si="21"/>
        <v>15</v>
      </c>
      <c r="Q159" s="146">
        <f t="shared" si="22"/>
        <v>15</v>
      </c>
      <c r="R159" s="146">
        <f t="shared" si="23"/>
        <v>15</v>
      </c>
      <c r="S159" s="146">
        <f t="shared" si="24"/>
        <v>6</v>
      </c>
      <c r="T159" s="146">
        <f t="shared" si="25"/>
        <v>15</v>
      </c>
      <c r="U159" s="146" t="e">
        <f t="shared" si="26"/>
        <v>#VALUE!</v>
      </c>
      <c r="V159" s="146">
        <f t="shared" si="27"/>
        <v>57087</v>
      </c>
      <c r="W159" s="90">
        <f t="shared" si="28"/>
        <v>0</v>
      </c>
      <c r="X159" s="90">
        <f t="shared" si="29"/>
        <v>2</v>
      </c>
    </row>
    <row r="160" spans="1:24">
      <c r="A160" t="s">
        <v>1214</v>
      </c>
      <c r="B160" s="99">
        <v>2</v>
      </c>
      <c r="D160" s="90">
        <v>4</v>
      </c>
      <c r="E160" s="90">
        <v>3</v>
      </c>
      <c r="F160" s="90" t="s">
        <v>1668</v>
      </c>
      <c r="G160" s="147">
        <v>2</v>
      </c>
      <c r="H160" s="147">
        <v>4</v>
      </c>
      <c r="I160" s="90">
        <v>6</v>
      </c>
      <c r="J160" s="90">
        <v>6</v>
      </c>
      <c r="K160" s="90" t="s">
        <v>901</v>
      </c>
      <c r="L160" s="90" t="s">
        <v>1447</v>
      </c>
      <c r="M160" t="s">
        <v>1368</v>
      </c>
      <c r="O160" s="146">
        <f t="shared" si="20"/>
        <v>9</v>
      </c>
      <c r="P160" s="146">
        <f t="shared" si="21"/>
        <v>12</v>
      </c>
      <c r="Q160" s="146">
        <f t="shared" si="22"/>
        <v>12</v>
      </c>
      <c r="R160" s="146">
        <f t="shared" si="23"/>
        <v>6</v>
      </c>
      <c r="S160" s="146">
        <f t="shared" si="24"/>
        <v>6</v>
      </c>
      <c r="T160" s="146">
        <f t="shared" si="25"/>
        <v>18</v>
      </c>
      <c r="U160" s="146">
        <f t="shared" si="26"/>
        <v>18</v>
      </c>
      <c r="V160" s="146" t="e">
        <f t="shared" si="27"/>
        <v>#VALUE!</v>
      </c>
      <c r="W160" s="90">
        <f t="shared" si="28"/>
        <v>0</v>
      </c>
      <c r="X160" s="90">
        <f t="shared" si="29"/>
        <v>4</v>
      </c>
    </row>
    <row r="161" spans="1:24">
      <c r="A161" t="s">
        <v>1765</v>
      </c>
      <c r="B161" s="99">
        <v>3</v>
      </c>
      <c r="D161" s="90">
        <v>4</v>
      </c>
      <c r="E161" s="90">
        <v>3</v>
      </c>
      <c r="F161" s="90" t="s">
        <v>1668</v>
      </c>
      <c r="G161" s="147">
        <v>2</v>
      </c>
      <c r="H161" s="147">
        <v>4</v>
      </c>
      <c r="I161" s="90">
        <v>2</v>
      </c>
      <c r="J161" s="90">
        <v>6</v>
      </c>
      <c r="K161" s="90">
        <v>4</v>
      </c>
      <c r="L161" s="90" t="s">
        <v>1174</v>
      </c>
      <c r="M161" t="s">
        <v>1521</v>
      </c>
      <c r="O161" s="146">
        <f t="shared" si="20"/>
        <v>9</v>
      </c>
      <c r="P161" s="146">
        <f t="shared" si="21"/>
        <v>12</v>
      </c>
      <c r="Q161" s="146">
        <f t="shared" si="22"/>
        <v>12</v>
      </c>
      <c r="R161" s="146">
        <f t="shared" si="23"/>
        <v>9</v>
      </c>
      <c r="S161" s="146">
        <f t="shared" si="24"/>
        <v>6</v>
      </c>
      <c r="T161" s="146">
        <f t="shared" si="25"/>
        <v>6</v>
      </c>
      <c r="U161" s="146">
        <f t="shared" si="26"/>
        <v>18</v>
      </c>
      <c r="V161" s="146" t="e">
        <f t="shared" si="27"/>
        <v>#VALUE!</v>
      </c>
      <c r="W161" s="90">
        <f t="shared" si="28"/>
        <v>0</v>
      </c>
      <c r="X161" s="90">
        <f t="shared" si="29"/>
        <v>4</v>
      </c>
    </row>
    <row r="162" spans="1:24">
      <c r="A162" t="s">
        <v>1522</v>
      </c>
      <c r="B162" s="99">
        <v>10</v>
      </c>
      <c r="D162" s="90">
        <v>4</v>
      </c>
      <c r="E162" s="90">
        <v>7</v>
      </c>
      <c r="F162" s="90" t="s">
        <v>1668</v>
      </c>
      <c r="G162" s="147">
        <v>3</v>
      </c>
      <c r="H162" s="147">
        <v>5</v>
      </c>
      <c r="I162" s="90">
        <v>3</v>
      </c>
      <c r="J162" s="90">
        <v>6</v>
      </c>
      <c r="K162" s="90" t="s">
        <v>901</v>
      </c>
      <c r="L162" s="90" t="s">
        <v>1680</v>
      </c>
      <c r="M162" t="s">
        <v>1241</v>
      </c>
      <c r="O162" s="146">
        <f t="shared" si="20"/>
        <v>21</v>
      </c>
      <c r="P162" s="146">
        <f t="shared" si="21"/>
        <v>12</v>
      </c>
      <c r="Q162" s="146">
        <f t="shared" si="22"/>
        <v>12</v>
      </c>
      <c r="R162" s="146">
        <f t="shared" si="23"/>
        <v>30</v>
      </c>
      <c r="S162" s="146">
        <f t="shared" si="24"/>
        <v>9</v>
      </c>
      <c r="T162" s="146">
        <f t="shared" si="25"/>
        <v>9</v>
      </c>
      <c r="U162" s="146">
        <f t="shared" si="26"/>
        <v>18</v>
      </c>
      <c r="V162" s="146" t="e">
        <f t="shared" si="27"/>
        <v>#VALUE!</v>
      </c>
      <c r="W162" s="90">
        <f t="shared" si="28"/>
        <v>0</v>
      </c>
      <c r="X162" s="90">
        <f t="shared" si="29"/>
        <v>5</v>
      </c>
    </row>
    <row r="163" spans="1:24">
      <c r="A163" t="s">
        <v>1277</v>
      </c>
      <c r="B163" s="99">
        <v>6</v>
      </c>
      <c r="D163" s="90">
        <v>4</v>
      </c>
      <c r="E163" s="90">
        <v>6</v>
      </c>
      <c r="F163" s="90" t="s">
        <v>1668</v>
      </c>
      <c r="G163" s="147">
        <v>2</v>
      </c>
      <c r="H163" s="147">
        <v>6</v>
      </c>
      <c r="I163" s="90">
        <v>4</v>
      </c>
      <c r="J163" s="90">
        <v>-6</v>
      </c>
      <c r="K163" s="90" t="s">
        <v>1031</v>
      </c>
      <c r="L163" s="90" t="s">
        <v>1084</v>
      </c>
      <c r="M163" t="s">
        <v>1369</v>
      </c>
      <c r="O163" s="146">
        <f t="shared" si="20"/>
        <v>18</v>
      </c>
      <c r="P163" s="146">
        <f t="shared" si="21"/>
        <v>12</v>
      </c>
      <c r="Q163" s="146">
        <f t="shared" si="22"/>
        <v>12</v>
      </c>
      <c r="R163" s="146">
        <f t="shared" si="23"/>
        <v>18</v>
      </c>
      <c r="S163" s="146">
        <f t="shared" si="24"/>
        <v>6</v>
      </c>
      <c r="T163" s="146">
        <f t="shared" si="25"/>
        <v>12</v>
      </c>
      <c r="U163" s="146">
        <f t="shared" si="26"/>
        <v>-18</v>
      </c>
      <c r="V163" s="146" t="e">
        <f t="shared" si="27"/>
        <v>#VALUE!</v>
      </c>
      <c r="W163" s="90">
        <f t="shared" si="28"/>
        <v>0</v>
      </c>
      <c r="X163" s="90">
        <f t="shared" si="29"/>
        <v>6</v>
      </c>
    </row>
    <row r="164" spans="1:24">
      <c r="A164" t="s">
        <v>1008</v>
      </c>
      <c r="B164" s="99" t="s">
        <v>1009</v>
      </c>
      <c r="C164" s="99" t="s">
        <v>1009</v>
      </c>
      <c r="D164" s="90">
        <v>1</v>
      </c>
      <c r="E164" s="90" t="s">
        <v>1009</v>
      </c>
      <c r="F164" s="90" t="s">
        <v>1668</v>
      </c>
      <c r="G164" s="99">
        <v>1</v>
      </c>
      <c r="H164" s="99">
        <v>1</v>
      </c>
      <c r="I164" s="90">
        <v>6</v>
      </c>
      <c r="J164" s="90">
        <v>0</v>
      </c>
      <c r="K164" s="90">
        <v>1</v>
      </c>
      <c r="L164" s="90" t="s">
        <v>1746</v>
      </c>
      <c r="M164" t="s">
        <v>1135</v>
      </c>
      <c r="O164" s="146" t="e">
        <f t="shared" si="20"/>
        <v>#VALUE!</v>
      </c>
      <c r="P164" s="146">
        <f t="shared" si="21"/>
        <v>3</v>
      </c>
      <c r="Q164" s="146">
        <f t="shared" si="22"/>
        <v>3</v>
      </c>
      <c r="R164" s="146" t="e">
        <f t="shared" si="23"/>
        <v>#VALUE!</v>
      </c>
      <c r="S164" s="146">
        <f t="shared" si="24"/>
        <v>3</v>
      </c>
      <c r="T164" s="146">
        <f t="shared" si="25"/>
        <v>18</v>
      </c>
      <c r="U164" s="146">
        <f t="shared" si="26"/>
        <v>0</v>
      </c>
      <c r="V164" s="146" t="e">
        <f t="shared" si="27"/>
        <v>#VALUE!</v>
      </c>
      <c r="W164" s="90" t="str">
        <f t="shared" si="28"/>
        <v>*</v>
      </c>
      <c r="X164" s="90">
        <f t="shared" si="29"/>
        <v>1</v>
      </c>
    </row>
    <row r="165" spans="1:24">
      <c r="A165" t="s">
        <v>1136</v>
      </c>
      <c r="B165" s="99">
        <v>5</v>
      </c>
      <c r="D165" s="90">
        <v>4</v>
      </c>
      <c r="E165" s="90">
        <v>4</v>
      </c>
      <c r="F165" s="90" t="s">
        <v>1668</v>
      </c>
      <c r="G165" s="147">
        <v>2</v>
      </c>
      <c r="H165" s="147">
        <v>3</v>
      </c>
      <c r="I165" s="90">
        <v>2</v>
      </c>
      <c r="J165" s="90">
        <v>6</v>
      </c>
      <c r="K165" s="90">
        <v>3</v>
      </c>
      <c r="L165" s="90" t="s">
        <v>1038</v>
      </c>
      <c r="M165" t="s">
        <v>957</v>
      </c>
      <c r="O165" s="146">
        <f t="shared" si="20"/>
        <v>12</v>
      </c>
      <c r="P165" s="146">
        <f t="shared" si="21"/>
        <v>12</v>
      </c>
      <c r="Q165" s="146">
        <f t="shared" si="22"/>
        <v>12</v>
      </c>
      <c r="R165" s="146">
        <f t="shared" si="23"/>
        <v>15</v>
      </c>
      <c r="S165" s="146">
        <f t="shared" si="24"/>
        <v>6</v>
      </c>
      <c r="T165" s="146">
        <f t="shared" si="25"/>
        <v>6</v>
      </c>
      <c r="U165" s="146">
        <f t="shared" si="26"/>
        <v>18</v>
      </c>
      <c r="V165" s="146" t="e">
        <f t="shared" si="27"/>
        <v>#VALUE!</v>
      </c>
      <c r="W165" s="90">
        <f t="shared" si="28"/>
        <v>0</v>
      </c>
      <c r="X165" s="90">
        <f t="shared" si="29"/>
        <v>3</v>
      </c>
    </row>
    <row r="166" spans="1:24">
      <c r="A166" t="s">
        <v>1078</v>
      </c>
      <c r="B166" s="99">
        <v>2</v>
      </c>
      <c r="D166" s="90">
        <v>4</v>
      </c>
      <c r="E166" s="90">
        <v>3</v>
      </c>
      <c r="F166" s="90" t="s">
        <v>1668</v>
      </c>
      <c r="G166" s="147">
        <v>2</v>
      </c>
      <c r="H166" s="147">
        <v>4</v>
      </c>
      <c r="I166" s="90">
        <v>4</v>
      </c>
      <c r="J166" s="90">
        <v>2</v>
      </c>
      <c r="K166" s="90" t="s">
        <v>901</v>
      </c>
      <c r="L166" s="90" t="s">
        <v>1423</v>
      </c>
      <c r="M166" t="s">
        <v>1100</v>
      </c>
      <c r="O166" s="146">
        <f t="shared" si="20"/>
        <v>9</v>
      </c>
      <c r="P166" s="146">
        <f t="shared" si="21"/>
        <v>12</v>
      </c>
      <c r="Q166" s="146">
        <f t="shared" si="22"/>
        <v>12</v>
      </c>
      <c r="R166" s="146">
        <f t="shared" si="23"/>
        <v>6</v>
      </c>
      <c r="S166" s="146">
        <f t="shared" si="24"/>
        <v>6</v>
      </c>
      <c r="T166" s="146">
        <f t="shared" si="25"/>
        <v>12</v>
      </c>
      <c r="U166" s="146">
        <f t="shared" si="26"/>
        <v>6</v>
      </c>
      <c r="V166" s="146" t="e">
        <f t="shared" si="27"/>
        <v>#VALUE!</v>
      </c>
      <c r="W166" s="90">
        <f t="shared" si="28"/>
        <v>0</v>
      </c>
      <c r="X166" s="90">
        <f t="shared" si="29"/>
        <v>4</v>
      </c>
    </row>
    <row r="167" spans="1:24">
      <c r="A167" t="s">
        <v>1644</v>
      </c>
      <c r="B167" s="99">
        <v>1</v>
      </c>
      <c r="D167" s="90">
        <v>4</v>
      </c>
      <c r="E167" s="90">
        <v>1</v>
      </c>
      <c r="F167" s="90" t="s">
        <v>1668</v>
      </c>
      <c r="G167" s="147">
        <v>2</v>
      </c>
      <c r="H167" s="147">
        <v>4</v>
      </c>
      <c r="I167" s="90">
        <v>2</v>
      </c>
      <c r="J167" s="90">
        <v>6</v>
      </c>
      <c r="K167" s="90" t="s">
        <v>1559</v>
      </c>
      <c r="L167" s="90" t="s">
        <v>2030</v>
      </c>
      <c r="M167" t="s">
        <v>1520</v>
      </c>
      <c r="O167" s="146">
        <f t="shared" si="20"/>
        <v>3</v>
      </c>
      <c r="P167" s="146">
        <f t="shared" si="21"/>
        <v>12</v>
      </c>
      <c r="Q167" s="146">
        <f t="shared" si="22"/>
        <v>12</v>
      </c>
      <c r="R167" s="146">
        <f t="shared" si="23"/>
        <v>3</v>
      </c>
      <c r="S167" s="146">
        <f t="shared" si="24"/>
        <v>6</v>
      </c>
      <c r="T167" s="146">
        <f t="shared" si="25"/>
        <v>6</v>
      </c>
      <c r="U167" s="146">
        <f t="shared" si="26"/>
        <v>18</v>
      </c>
      <c r="V167" s="146" t="e">
        <f t="shared" si="27"/>
        <v>#VALUE!</v>
      </c>
      <c r="W167" s="90">
        <f t="shared" si="28"/>
        <v>0</v>
      </c>
      <c r="X167" s="90">
        <f t="shared" si="29"/>
        <v>4</v>
      </c>
    </row>
    <row r="168" spans="1:24">
      <c r="A168" t="s">
        <v>1003</v>
      </c>
      <c r="B168" s="147">
        <v>10</v>
      </c>
      <c r="C168" s="147">
        <v>1</v>
      </c>
      <c r="D168" s="90">
        <v>4</v>
      </c>
      <c r="E168" s="90">
        <v>8</v>
      </c>
      <c r="F168" s="90" t="s">
        <v>1668</v>
      </c>
      <c r="G168" s="147">
        <v>2</v>
      </c>
      <c r="H168" s="147">
        <v>4</v>
      </c>
      <c r="I168" s="90">
        <v>3</v>
      </c>
      <c r="J168" s="90">
        <v>6</v>
      </c>
      <c r="K168" s="90" t="s">
        <v>1654</v>
      </c>
      <c r="L168" s="90" t="s">
        <v>1680</v>
      </c>
      <c r="M168" t="s">
        <v>926</v>
      </c>
      <c r="O168" s="146">
        <f t="shared" si="20"/>
        <v>24</v>
      </c>
      <c r="P168" s="146">
        <f t="shared" si="21"/>
        <v>12</v>
      </c>
      <c r="Q168" s="146">
        <f t="shared" si="22"/>
        <v>12</v>
      </c>
      <c r="R168" s="146">
        <f t="shared" si="23"/>
        <v>30</v>
      </c>
      <c r="S168" s="146">
        <f t="shared" si="24"/>
        <v>6</v>
      </c>
      <c r="T168" s="146">
        <f t="shared" si="25"/>
        <v>9</v>
      </c>
      <c r="U168" s="146">
        <f t="shared" si="26"/>
        <v>18</v>
      </c>
      <c r="V168" s="146" t="e">
        <f t="shared" si="27"/>
        <v>#VALUE!</v>
      </c>
      <c r="W168" s="90">
        <f t="shared" si="28"/>
        <v>1</v>
      </c>
      <c r="X168" s="90">
        <f t="shared" si="29"/>
        <v>4</v>
      </c>
    </row>
    <row r="169" spans="1:24">
      <c r="A169" t="s">
        <v>927</v>
      </c>
      <c r="B169" s="147" t="s">
        <v>2088</v>
      </c>
      <c r="C169" s="147">
        <v>7</v>
      </c>
      <c r="D169" s="90">
        <v>5</v>
      </c>
      <c r="E169" s="90">
        <v>8</v>
      </c>
      <c r="F169" s="90" t="s">
        <v>1668</v>
      </c>
      <c r="G169" s="147">
        <v>2</v>
      </c>
      <c r="H169" s="147">
        <v>5</v>
      </c>
      <c r="I169" s="90">
        <v>5</v>
      </c>
      <c r="J169" s="90">
        <v>6</v>
      </c>
      <c r="K169" s="90" t="s">
        <v>901</v>
      </c>
      <c r="L169" s="90" t="s">
        <v>939</v>
      </c>
      <c r="M169" t="s">
        <v>1420</v>
      </c>
      <c r="O169" s="146">
        <f t="shared" si="20"/>
        <v>24</v>
      </c>
      <c r="P169" s="146">
        <f t="shared" si="21"/>
        <v>15</v>
      </c>
      <c r="Q169" s="146">
        <f t="shared" si="22"/>
        <v>15</v>
      </c>
      <c r="R169" s="146">
        <f t="shared" si="23"/>
        <v>30</v>
      </c>
      <c r="S169" s="146">
        <f t="shared" si="24"/>
        <v>6</v>
      </c>
      <c r="T169" s="146">
        <f t="shared" si="25"/>
        <v>15</v>
      </c>
      <c r="U169" s="146">
        <f t="shared" si="26"/>
        <v>18</v>
      </c>
      <c r="V169" s="146" t="e">
        <f t="shared" si="27"/>
        <v>#VALUE!</v>
      </c>
      <c r="W169" s="90">
        <f t="shared" si="28"/>
        <v>7</v>
      </c>
      <c r="X169" s="90">
        <f t="shared" si="29"/>
        <v>5</v>
      </c>
    </row>
    <row r="170" spans="1:24">
      <c r="A170" t="s">
        <v>1421</v>
      </c>
      <c r="B170" s="99">
        <v>3</v>
      </c>
      <c r="D170" s="90">
        <v>4</v>
      </c>
      <c r="E170" s="90">
        <v>1</v>
      </c>
      <c r="F170" s="90">
        <v>4</v>
      </c>
      <c r="G170" s="147">
        <v>3</v>
      </c>
      <c r="H170" s="147">
        <v>5</v>
      </c>
      <c r="I170" s="90">
        <v>2</v>
      </c>
      <c r="J170" s="90">
        <v>-6</v>
      </c>
      <c r="K170" s="90">
        <v>5</v>
      </c>
      <c r="L170" s="90" t="s">
        <v>1422</v>
      </c>
      <c r="M170" t="s">
        <v>2416</v>
      </c>
      <c r="O170" s="146">
        <f t="shared" si="20"/>
        <v>3</v>
      </c>
      <c r="P170" s="146">
        <f t="shared" si="21"/>
        <v>12</v>
      </c>
      <c r="Q170" s="146">
        <f t="shared" si="22"/>
        <v>12</v>
      </c>
      <c r="R170" s="146">
        <f t="shared" si="23"/>
        <v>9</v>
      </c>
      <c r="S170" s="146">
        <f t="shared" si="24"/>
        <v>9</v>
      </c>
      <c r="T170" s="146">
        <f t="shared" si="25"/>
        <v>6</v>
      </c>
      <c r="U170" s="146">
        <f t="shared" si="26"/>
        <v>-18</v>
      </c>
      <c r="V170" s="146">
        <f t="shared" si="27"/>
        <v>12</v>
      </c>
      <c r="W170" s="90">
        <f t="shared" si="28"/>
        <v>0</v>
      </c>
      <c r="X170" s="90">
        <f t="shared" si="29"/>
        <v>5</v>
      </c>
    </row>
    <row r="171" spans="1:24">
      <c r="A171" t="s">
        <v>2417</v>
      </c>
      <c r="B171" s="99">
        <v>4</v>
      </c>
      <c r="D171" s="90">
        <v>3</v>
      </c>
      <c r="E171" s="90">
        <v>4</v>
      </c>
      <c r="F171" s="90">
        <v>2</v>
      </c>
      <c r="G171" s="147">
        <v>3</v>
      </c>
      <c r="H171" s="147">
        <v>5</v>
      </c>
      <c r="I171" s="90">
        <v>6</v>
      </c>
      <c r="J171" s="90">
        <v>6</v>
      </c>
      <c r="K171" s="90">
        <v>3</v>
      </c>
      <c r="L171" s="90" t="s">
        <v>1423</v>
      </c>
      <c r="M171" t="s">
        <v>1784</v>
      </c>
      <c r="O171" s="146">
        <f t="shared" si="20"/>
        <v>12</v>
      </c>
      <c r="P171" s="146">
        <f t="shared" si="21"/>
        <v>9</v>
      </c>
      <c r="Q171" s="146">
        <f t="shared" si="22"/>
        <v>9</v>
      </c>
      <c r="R171" s="146">
        <f t="shared" si="23"/>
        <v>12</v>
      </c>
      <c r="S171" s="146">
        <f t="shared" si="24"/>
        <v>9</v>
      </c>
      <c r="T171" s="146">
        <f t="shared" si="25"/>
        <v>18</v>
      </c>
      <c r="U171" s="146">
        <f t="shared" si="26"/>
        <v>18</v>
      </c>
      <c r="V171" s="146">
        <f t="shared" si="27"/>
        <v>6</v>
      </c>
      <c r="W171" s="90">
        <f t="shared" si="28"/>
        <v>0</v>
      </c>
      <c r="X171" s="90">
        <f t="shared" si="29"/>
        <v>5</v>
      </c>
    </row>
    <row r="172" spans="1:24">
      <c r="A172" t="s">
        <v>2355</v>
      </c>
      <c r="B172" s="99">
        <v>4</v>
      </c>
      <c r="D172" s="90">
        <v>6</v>
      </c>
      <c r="E172" s="90">
        <v>4</v>
      </c>
      <c r="F172" s="90" t="s">
        <v>1668</v>
      </c>
      <c r="G172" s="147">
        <v>2</v>
      </c>
      <c r="H172" s="147">
        <v>6</v>
      </c>
      <c r="I172" s="90">
        <v>6</v>
      </c>
      <c r="J172" s="90">
        <v>-6</v>
      </c>
      <c r="K172" s="90" t="s">
        <v>1031</v>
      </c>
      <c r="L172" s="90" t="s">
        <v>2356</v>
      </c>
      <c r="M172" t="s">
        <v>1934</v>
      </c>
      <c r="O172" s="146">
        <f t="shared" si="20"/>
        <v>12</v>
      </c>
      <c r="P172" s="146">
        <f t="shared" si="21"/>
        <v>18</v>
      </c>
      <c r="Q172" s="146">
        <f t="shared" si="22"/>
        <v>18</v>
      </c>
      <c r="R172" s="146">
        <f t="shared" si="23"/>
        <v>12</v>
      </c>
      <c r="S172" s="146">
        <f t="shared" si="24"/>
        <v>6</v>
      </c>
      <c r="T172" s="146">
        <f t="shared" si="25"/>
        <v>18</v>
      </c>
      <c r="U172" s="146">
        <f t="shared" si="26"/>
        <v>-18</v>
      </c>
      <c r="V172" s="146" t="e">
        <f t="shared" si="27"/>
        <v>#VALUE!</v>
      </c>
      <c r="W172" s="90">
        <f t="shared" si="28"/>
        <v>0</v>
      </c>
      <c r="X172" s="90">
        <f t="shared" si="29"/>
        <v>6</v>
      </c>
    </row>
    <row r="173" spans="1:24">
      <c r="A173" t="s">
        <v>2364</v>
      </c>
      <c r="B173" s="99">
        <v>9</v>
      </c>
      <c r="D173" s="90">
        <v>8</v>
      </c>
      <c r="E173" s="90">
        <v>9</v>
      </c>
      <c r="F173" s="90" t="s">
        <v>1668</v>
      </c>
      <c r="G173" s="147">
        <v>2</v>
      </c>
      <c r="H173" s="147">
        <v>6</v>
      </c>
      <c r="I173" s="90">
        <v>6</v>
      </c>
      <c r="J173" s="90">
        <v>-6</v>
      </c>
      <c r="K173" s="90" t="s">
        <v>1031</v>
      </c>
      <c r="L173" s="90" t="s">
        <v>1352</v>
      </c>
      <c r="M173" t="s">
        <v>1934</v>
      </c>
      <c r="O173" s="146">
        <f t="shared" si="20"/>
        <v>27</v>
      </c>
      <c r="P173" s="146">
        <f t="shared" si="21"/>
        <v>24</v>
      </c>
      <c r="Q173" s="146">
        <f t="shared" si="22"/>
        <v>24</v>
      </c>
      <c r="R173" s="146">
        <f t="shared" si="23"/>
        <v>27</v>
      </c>
      <c r="S173" s="146">
        <f t="shared" si="24"/>
        <v>6</v>
      </c>
      <c r="T173" s="146">
        <f t="shared" si="25"/>
        <v>18</v>
      </c>
      <c r="U173" s="146">
        <f t="shared" si="26"/>
        <v>-18</v>
      </c>
      <c r="V173" s="146" t="e">
        <f t="shared" si="27"/>
        <v>#VALUE!</v>
      </c>
      <c r="W173" s="90">
        <f t="shared" si="28"/>
        <v>0</v>
      </c>
      <c r="X173" s="90">
        <f t="shared" si="29"/>
        <v>6</v>
      </c>
    </row>
    <row r="174" spans="1:24">
      <c r="A174" t="s">
        <v>1438</v>
      </c>
      <c r="B174" s="99">
        <v>10</v>
      </c>
      <c r="D174" s="90">
        <v>8</v>
      </c>
      <c r="E174" s="90">
        <v>10</v>
      </c>
      <c r="F174" s="90" t="s">
        <v>1668</v>
      </c>
      <c r="G174" s="99">
        <v>7</v>
      </c>
      <c r="H174" s="99">
        <v>7</v>
      </c>
      <c r="I174" s="90">
        <v>10</v>
      </c>
      <c r="J174" s="90">
        <v>-12</v>
      </c>
      <c r="K174" s="90" t="s">
        <v>1439</v>
      </c>
      <c r="L174" s="90" t="s">
        <v>1271</v>
      </c>
      <c r="M174" t="s">
        <v>1934</v>
      </c>
      <c r="O174" s="146">
        <f t="shared" si="20"/>
        <v>30</v>
      </c>
      <c r="P174" s="146">
        <f t="shared" si="21"/>
        <v>24</v>
      </c>
      <c r="Q174" s="146">
        <f t="shared" si="22"/>
        <v>24</v>
      </c>
      <c r="R174" s="146">
        <f t="shared" si="23"/>
        <v>30</v>
      </c>
      <c r="S174" s="146">
        <f t="shared" si="24"/>
        <v>21</v>
      </c>
      <c r="T174" s="146">
        <f t="shared" si="25"/>
        <v>30</v>
      </c>
      <c r="U174" s="146">
        <f t="shared" si="26"/>
        <v>-36</v>
      </c>
      <c r="V174" s="146" t="e">
        <f t="shared" si="27"/>
        <v>#VALUE!</v>
      </c>
      <c r="W174" s="90">
        <f t="shared" si="28"/>
        <v>0</v>
      </c>
      <c r="X174" s="90">
        <f t="shared" si="29"/>
        <v>7</v>
      </c>
    </row>
    <row r="175" spans="1:24">
      <c r="A175" t="s">
        <v>1440</v>
      </c>
      <c r="B175" s="99">
        <v>8</v>
      </c>
      <c r="D175" s="90">
        <v>7</v>
      </c>
      <c r="E175" s="90">
        <v>8</v>
      </c>
      <c r="F175" s="90" t="s">
        <v>1668</v>
      </c>
      <c r="G175" s="99">
        <v>6</v>
      </c>
      <c r="H175" s="99">
        <v>6</v>
      </c>
      <c r="I175" s="90">
        <v>8</v>
      </c>
      <c r="J175" s="90">
        <v>-10</v>
      </c>
      <c r="K175" s="90" t="s">
        <v>1441</v>
      </c>
      <c r="L175" s="90" t="s">
        <v>1273</v>
      </c>
      <c r="M175" t="s">
        <v>1934</v>
      </c>
      <c r="O175" s="146">
        <f t="shared" si="20"/>
        <v>24</v>
      </c>
      <c r="P175" s="146">
        <f t="shared" si="21"/>
        <v>21</v>
      </c>
      <c r="Q175" s="146">
        <f t="shared" si="22"/>
        <v>21</v>
      </c>
      <c r="R175" s="146">
        <f t="shared" si="23"/>
        <v>24</v>
      </c>
      <c r="S175" s="146">
        <f t="shared" si="24"/>
        <v>18</v>
      </c>
      <c r="T175" s="146">
        <f t="shared" si="25"/>
        <v>24</v>
      </c>
      <c r="U175" s="146">
        <f t="shared" si="26"/>
        <v>-30</v>
      </c>
      <c r="V175" s="146" t="e">
        <f t="shared" si="27"/>
        <v>#VALUE!</v>
      </c>
      <c r="W175" s="90">
        <f t="shared" si="28"/>
        <v>0</v>
      </c>
      <c r="X175" s="90">
        <f t="shared" si="29"/>
        <v>6</v>
      </c>
    </row>
    <row r="176" spans="1:24">
      <c r="A176" t="s">
        <v>1442</v>
      </c>
      <c r="B176" s="99">
        <v>10</v>
      </c>
      <c r="D176" s="90">
        <v>5</v>
      </c>
      <c r="E176" s="90">
        <v>9</v>
      </c>
      <c r="F176" s="90" t="s">
        <v>1668</v>
      </c>
      <c r="G176" s="147">
        <v>2</v>
      </c>
      <c r="H176" s="147">
        <v>5</v>
      </c>
      <c r="I176" s="90">
        <v>5</v>
      </c>
      <c r="J176" s="90">
        <v>5</v>
      </c>
      <c r="K176" s="90" t="s">
        <v>901</v>
      </c>
      <c r="L176" s="90" t="s">
        <v>1273</v>
      </c>
      <c r="M176" t="s">
        <v>1165</v>
      </c>
      <c r="O176" s="146">
        <f t="shared" si="20"/>
        <v>27</v>
      </c>
      <c r="P176" s="146">
        <f t="shared" si="21"/>
        <v>15</v>
      </c>
      <c r="Q176" s="146">
        <f t="shared" si="22"/>
        <v>15</v>
      </c>
      <c r="R176" s="146">
        <f t="shared" si="23"/>
        <v>30</v>
      </c>
      <c r="S176" s="146">
        <f t="shared" si="24"/>
        <v>6</v>
      </c>
      <c r="T176" s="146">
        <f t="shared" si="25"/>
        <v>15</v>
      </c>
      <c r="U176" s="146">
        <f t="shared" si="26"/>
        <v>15</v>
      </c>
      <c r="V176" s="146" t="e">
        <f t="shared" si="27"/>
        <v>#VALUE!</v>
      </c>
      <c r="W176" s="90">
        <f t="shared" si="28"/>
        <v>0</v>
      </c>
      <c r="X176" s="90">
        <f t="shared" si="29"/>
        <v>5</v>
      </c>
    </row>
    <row r="177" spans="1:24">
      <c r="A177" t="s">
        <v>953</v>
      </c>
      <c r="B177" s="99">
        <v>3</v>
      </c>
      <c r="D177" s="90">
        <v>4</v>
      </c>
      <c r="E177" s="90">
        <v>3</v>
      </c>
      <c r="F177" s="90" t="s">
        <v>1668</v>
      </c>
      <c r="G177" s="147">
        <v>2</v>
      </c>
      <c r="H177" s="147">
        <v>4</v>
      </c>
      <c r="I177" s="90">
        <v>2</v>
      </c>
      <c r="J177" s="90">
        <v>6</v>
      </c>
      <c r="K177" s="90">
        <v>4</v>
      </c>
      <c r="L177" s="90" t="s">
        <v>1647</v>
      </c>
      <c r="M177" t="s">
        <v>1081</v>
      </c>
      <c r="O177" s="146">
        <f t="shared" si="20"/>
        <v>9</v>
      </c>
      <c r="P177" s="146">
        <f t="shared" si="21"/>
        <v>12</v>
      </c>
      <c r="Q177" s="146">
        <f t="shared" si="22"/>
        <v>12</v>
      </c>
      <c r="R177" s="146">
        <f t="shared" si="23"/>
        <v>9</v>
      </c>
      <c r="S177" s="146">
        <f t="shared" si="24"/>
        <v>6</v>
      </c>
      <c r="T177" s="146">
        <f t="shared" si="25"/>
        <v>6</v>
      </c>
      <c r="U177" s="146">
        <f t="shared" si="26"/>
        <v>18</v>
      </c>
      <c r="V177" s="146" t="e">
        <f t="shared" si="27"/>
        <v>#VALUE!</v>
      </c>
      <c r="W177" s="90">
        <f t="shared" si="28"/>
        <v>0</v>
      </c>
      <c r="X177" s="90">
        <f t="shared" si="29"/>
        <v>4</v>
      </c>
    </row>
    <row r="178" spans="1:24">
      <c r="A178" t="s">
        <v>1357</v>
      </c>
      <c r="B178" s="147">
        <v>10</v>
      </c>
      <c r="C178" s="147">
        <v>3</v>
      </c>
      <c r="D178" s="90">
        <v>4</v>
      </c>
      <c r="E178" s="90">
        <v>11</v>
      </c>
      <c r="F178" s="90">
        <v>1</v>
      </c>
      <c r="G178" s="99">
        <v>3</v>
      </c>
      <c r="H178" s="99">
        <v>3</v>
      </c>
      <c r="I178" s="90">
        <v>4</v>
      </c>
      <c r="J178" s="90">
        <v>5</v>
      </c>
      <c r="K178" s="90">
        <v>4</v>
      </c>
      <c r="L178" s="90" t="s">
        <v>1817</v>
      </c>
      <c r="M178" t="s">
        <v>1326</v>
      </c>
      <c r="O178" s="146">
        <f t="shared" si="20"/>
        <v>33</v>
      </c>
      <c r="P178" s="146">
        <f t="shared" si="21"/>
        <v>12</v>
      </c>
      <c r="Q178" s="146">
        <f t="shared" si="22"/>
        <v>12</v>
      </c>
      <c r="R178" s="146">
        <f t="shared" si="23"/>
        <v>30</v>
      </c>
      <c r="S178" s="146">
        <f t="shared" si="24"/>
        <v>9</v>
      </c>
      <c r="T178" s="146">
        <f t="shared" si="25"/>
        <v>12</v>
      </c>
      <c r="U178" s="146">
        <f t="shared" si="26"/>
        <v>15</v>
      </c>
      <c r="V178" s="146">
        <f t="shared" si="27"/>
        <v>3</v>
      </c>
      <c r="W178" s="90">
        <f t="shared" si="28"/>
        <v>3</v>
      </c>
      <c r="X178" s="90">
        <f t="shared" si="29"/>
        <v>3</v>
      </c>
    </row>
    <row r="179" spans="1:24">
      <c r="A179" t="s">
        <v>1327</v>
      </c>
      <c r="B179" s="99">
        <v>1</v>
      </c>
      <c r="D179" s="90">
        <v>5</v>
      </c>
      <c r="E179" s="90">
        <v>1</v>
      </c>
      <c r="F179" s="90" t="s">
        <v>1668</v>
      </c>
      <c r="G179" s="147">
        <v>2</v>
      </c>
      <c r="H179" s="147">
        <v>4</v>
      </c>
      <c r="I179" s="90">
        <v>3</v>
      </c>
      <c r="J179" s="90">
        <v>6</v>
      </c>
      <c r="K179" s="90" t="s">
        <v>1654</v>
      </c>
      <c r="L179" s="90" t="s">
        <v>1359</v>
      </c>
      <c r="M179" t="s">
        <v>954</v>
      </c>
      <c r="O179" s="146">
        <f t="shared" si="20"/>
        <v>3</v>
      </c>
      <c r="P179" s="146">
        <f t="shared" si="21"/>
        <v>15</v>
      </c>
      <c r="Q179" s="146">
        <f t="shared" si="22"/>
        <v>15</v>
      </c>
      <c r="R179" s="146">
        <f t="shared" si="23"/>
        <v>3</v>
      </c>
      <c r="S179" s="146">
        <f t="shared" si="24"/>
        <v>6</v>
      </c>
      <c r="T179" s="146">
        <f t="shared" si="25"/>
        <v>9</v>
      </c>
      <c r="U179" s="146">
        <f t="shared" si="26"/>
        <v>18</v>
      </c>
      <c r="V179" s="146" t="e">
        <f t="shared" si="27"/>
        <v>#VALUE!</v>
      </c>
      <c r="W179" s="90">
        <f t="shared" si="28"/>
        <v>0</v>
      </c>
      <c r="X179" s="90">
        <f t="shared" si="29"/>
        <v>4</v>
      </c>
    </row>
    <row r="180" spans="1:24">
      <c r="A180" t="s">
        <v>955</v>
      </c>
      <c r="B180" s="147">
        <v>1</v>
      </c>
      <c r="C180" s="147">
        <v>1</v>
      </c>
      <c r="D180" s="90">
        <v>7</v>
      </c>
      <c r="E180" s="90">
        <v>0</v>
      </c>
      <c r="F180" s="90" t="s">
        <v>1668</v>
      </c>
      <c r="G180" s="147">
        <v>1</v>
      </c>
      <c r="H180" s="147">
        <v>5</v>
      </c>
      <c r="I180" s="90">
        <v>3</v>
      </c>
      <c r="J180" s="90">
        <v>6</v>
      </c>
      <c r="K180" s="90" t="s">
        <v>2039</v>
      </c>
      <c r="L180" s="90" t="s">
        <v>956</v>
      </c>
      <c r="M180" t="s">
        <v>1267</v>
      </c>
      <c r="O180" s="146">
        <f t="shared" si="20"/>
        <v>0</v>
      </c>
      <c r="P180" s="146">
        <f t="shared" si="21"/>
        <v>21</v>
      </c>
      <c r="Q180" s="146">
        <f t="shared" si="22"/>
        <v>21</v>
      </c>
      <c r="R180" s="146">
        <f t="shared" si="23"/>
        <v>3</v>
      </c>
      <c r="S180" s="146">
        <f t="shared" si="24"/>
        <v>3</v>
      </c>
      <c r="T180" s="146">
        <f t="shared" si="25"/>
        <v>9</v>
      </c>
      <c r="U180" s="146">
        <f t="shared" si="26"/>
        <v>18</v>
      </c>
      <c r="V180" s="146" t="e">
        <f t="shared" si="27"/>
        <v>#VALUE!</v>
      </c>
      <c r="W180" s="90">
        <f t="shared" si="28"/>
        <v>1</v>
      </c>
      <c r="X180" s="90">
        <f t="shared" si="29"/>
        <v>5</v>
      </c>
    </row>
    <row r="181" spans="1:24">
      <c r="A181" t="s">
        <v>947</v>
      </c>
      <c r="B181" s="99">
        <v>5</v>
      </c>
      <c r="D181" s="90">
        <v>4</v>
      </c>
      <c r="E181" s="90">
        <v>6</v>
      </c>
      <c r="F181" s="90" t="s">
        <v>1668</v>
      </c>
      <c r="G181" s="147">
        <v>1</v>
      </c>
      <c r="H181" s="147">
        <v>5</v>
      </c>
      <c r="I181" s="90">
        <v>5</v>
      </c>
      <c r="J181" s="90">
        <v>6</v>
      </c>
      <c r="K181" s="90" t="s">
        <v>901</v>
      </c>
      <c r="L181" s="90" t="s">
        <v>1746</v>
      </c>
      <c r="M181" t="s">
        <v>1105</v>
      </c>
      <c r="O181" s="146">
        <f t="shared" si="20"/>
        <v>18</v>
      </c>
      <c r="P181" s="146">
        <f t="shared" si="21"/>
        <v>12</v>
      </c>
      <c r="Q181" s="146">
        <f t="shared" si="22"/>
        <v>12</v>
      </c>
      <c r="R181" s="146">
        <f t="shared" si="23"/>
        <v>15</v>
      </c>
      <c r="S181" s="146">
        <f t="shared" si="24"/>
        <v>3</v>
      </c>
      <c r="T181" s="146">
        <f t="shared" si="25"/>
        <v>15</v>
      </c>
      <c r="U181" s="146">
        <f t="shared" si="26"/>
        <v>18</v>
      </c>
      <c r="V181" s="146" t="e">
        <f t="shared" si="27"/>
        <v>#VALUE!</v>
      </c>
      <c r="W181" s="90">
        <f t="shared" si="28"/>
        <v>0</v>
      </c>
      <c r="X181" s="90">
        <f t="shared" si="29"/>
        <v>5</v>
      </c>
    </row>
    <row r="182" spans="1:24">
      <c r="A182" t="s">
        <v>1106</v>
      </c>
      <c r="B182" s="147">
        <v>6</v>
      </c>
      <c r="C182" s="147">
        <v>1</v>
      </c>
      <c r="D182" s="90">
        <v>4</v>
      </c>
      <c r="E182" s="90">
        <v>8</v>
      </c>
      <c r="F182" s="90" t="s">
        <v>1668</v>
      </c>
      <c r="G182" s="147">
        <v>2</v>
      </c>
      <c r="H182" s="147">
        <v>5</v>
      </c>
      <c r="I182" s="90">
        <v>6</v>
      </c>
      <c r="J182" s="90">
        <v>-6</v>
      </c>
      <c r="K182" s="90" t="s">
        <v>901</v>
      </c>
      <c r="L182" s="90" t="s">
        <v>1086</v>
      </c>
      <c r="M182" t="s">
        <v>1381</v>
      </c>
      <c r="O182" s="146">
        <f t="shared" si="20"/>
        <v>24</v>
      </c>
      <c r="P182" s="146">
        <f t="shared" si="21"/>
        <v>12</v>
      </c>
      <c r="Q182" s="146">
        <f t="shared" si="22"/>
        <v>12</v>
      </c>
      <c r="R182" s="146">
        <f t="shared" si="23"/>
        <v>18</v>
      </c>
      <c r="S182" s="146">
        <f t="shared" si="24"/>
        <v>6</v>
      </c>
      <c r="T182" s="146">
        <f t="shared" si="25"/>
        <v>18</v>
      </c>
      <c r="U182" s="146">
        <f t="shared" si="26"/>
        <v>-18</v>
      </c>
      <c r="V182" s="146" t="e">
        <f t="shared" si="27"/>
        <v>#VALUE!</v>
      </c>
      <c r="W182" s="90">
        <f t="shared" si="28"/>
        <v>1</v>
      </c>
      <c r="X182" s="90">
        <f t="shared" si="29"/>
        <v>5</v>
      </c>
    </row>
    <row r="183" spans="1:24">
      <c r="A183" t="s">
        <v>1758</v>
      </c>
      <c r="B183" s="147">
        <v>11</v>
      </c>
      <c r="C183" s="147">
        <v>2</v>
      </c>
      <c r="D183" s="90">
        <v>4</v>
      </c>
      <c r="E183" s="90">
        <v>10</v>
      </c>
      <c r="F183" s="90" t="s">
        <v>1668</v>
      </c>
      <c r="G183" s="147">
        <v>2</v>
      </c>
      <c r="H183" s="147">
        <v>4</v>
      </c>
      <c r="I183" s="90">
        <v>4</v>
      </c>
      <c r="J183" s="90">
        <v>-6</v>
      </c>
      <c r="K183" s="90">
        <v>4</v>
      </c>
      <c r="L183" s="90" t="s">
        <v>1372</v>
      </c>
      <c r="M183" t="s">
        <v>842</v>
      </c>
      <c r="O183" s="146">
        <f t="shared" si="20"/>
        <v>30</v>
      </c>
      <c r="P183" s="146">
        <f t="shared" si="21"/>
        <v>12</v>
      </c>
      <c r="Q183" s="146">
        <f t="shared" si="22"/>
        <v>12</v>
      </c>
      <c r="R183" s="146">
        <f t="shared" si="23"/>
        <v>33</v>
      </c>
      <c r="S183" s="146">
        <f t="shared" si="24"/>
        <v>6</v>
      </c>
      <c r="T183" s="146">
        <f t="shared" si="25"/>
        <v>12</v>
      </c>
      <c r="U183" s="146">
        <f t="shared" si="26"/>
        <v>-18</v>
      </c>
      <c r="V183" s="146" t="e">
        <f t="shared" si="27"/>
        <v>#VALUE!</v>
      </c>
      <c r="W183" s="90">
        <f t="shared" si="28"/>
        <v>2</v>
      </c>
      <c r="X183" s="90">
        <f t="shared" si="29"/>
        <v>4</v>
      </c>
    </row>
    <row r="184" spans="1:24">
      <c r="A184" t="s">
        <v>843</v>
      </c>
      <c r="B184" s="99">
        <v>9</v>
      </c>
      <c r="D184" s="90">
        <v>4</v>
      </c>
      <c r="E184" s="90">
        <v>7</v>
      </c>
      <c r="F184" s="90">
        <v>3</v>
      </c>
      <c r="G184" s="147">
        <v>3</v>
      </c>
      <c r="H184" s="147">
        <v>6</v>
      </c>
      <c r="I184" s="90">
        <v>6</v>
      </c>
      <c r="J184" s="90">
        <v>-6</v>
      </c>
      <c r="K184" s="90">
        <v>5</v>
      </c>
      <c r="L184" s="90" t="s">
        <v>1794</v>
      </c>
      <c r="M184" t="s">
        <v>2363</v>
      </c>
      <c r="O184" s="146">
        <f t="shared" si="20"/>
        <v>21</v>
      </c>
      <c r="P184" s="146">
        <f t="shared" si="21"/>
        <v>12</v>
      </c>
      <c r="Q184" s="146">
        <f t="shared" si="22"/>
        <v>12</v>
      </c>
      <c r="R184" s="146">
        <f t="shared" si="23"/>
        <v>27</v>
      </c>
      <c r="S184" s="146">
        <f t="shared" si="24"/>
        <v>9</v>
      </c>
      <c r="T184" s="146">
        <f t="shared" si="25"/>
        <v>18</v>
      </c>
      <c r="U184" s="146">
        <f t="shared" si="26"/>
        <v>-18</v>
      </c>
      <c r="V184" s="146">
        <f t="shared" si="27"/>
        <v>9</v>
      </c>
      <c r="W184" s="90">
        <f t="shared" si="28"/>
        <v>0</v>
      </c>
      <c r="X184" s="90">
        <f t="shared" si="29"/>
        <v>6</v>
      </c>
    </row>
    <row r="185" spans="1:24">
      <c r="A185" t="s">
        <v>2094</v>
      </c>
      <c r="B185" s="147">
        <v>12</v>
      </c>
      <c r="C185" s="147">
        <v>2</v>
      </c>
      <c r="D185" s="90">
        <v>3</v>
      </c>
      <c r="E185" s="90">
        <v>9</v>
      </c>
      <c r="F185" s="90" t="s">
        <v>1668</v>
      </c>
      <c r="G185" s="147">
        <v>1</v>
      </c>
      <c r="H185" s="147">
        <v>3</v>
      </c>
      <c r="I185" s="90">
        <v>3</v>
      </c>
      <c r="J185" s="90">
        <v>6</v>
      </c>
      <c r="K185" s="90">
        <v>3</v>
      </c>
      <c r="L185" s="90" t="s">
        <v>2095</v>
      </c>
      <c r="O185" s="146">
        <f t="shared" si="20"/>
        <v>27</v>
      </c>
      <c r="P185" s="146">
        <f t="shared" si="21"/>
        <v>9</v>
      </c>
      <c r="Q185" s="146">
        <f t="shared" si="22"/>
        <v>9</v>
      </c>
      <c r="R185" s="146">
        <f t="shared" si="23"/>
        <v>36</v>
      </c>
      <c r="S185" s="146">
        <f t="shared" si="24"/>
        <v>3</v>
      </c>
      <c r="T185" s="146">
        <f t="shared" si="25"/>
        <v>9</v>
      </c>
      <c r="U185" s="146">
        <f t="shared" si="26"/>
        <v>18</v>
      </c>
      <c r="V185" s="146" t="e">
        <f t="shared" si="27"/>
        <v>#VALUE!</v>
      </c>
      <c r="W185" s="90">
        <f t="shared" si="28"/>
        <v>2</v>
      </c>
      <c r="X185" s="90">
        <f t="shared" si="29"/>
        <v>3</v>
      </c>
    </row>
    <row r="186" spans="1:24">
      <c r="A186" t="s">
        <v>2412</v>
      </c>
      <c r="B186" s="99">
        <v>3</v>
      </c>
      <c r="D186" s="90">
        <v>5</v>
      </c>
      <c r="E186" s="90">
        <v>3</v>
      </c>
      <c r="F186" s="90">
        <v>4</v>
      </c>
      <c r="G186" s="147">
        <v>2</v>
      </c>
      <c r="H186" s="147">
        <v>4</v>
      </c>
      <c r="I186" s="90">
        <v>6</v>
      </c>
      <c r="J186" s="90">
        <v>6</v>
      </c>
      <c r="K186" s="90" t="s">
        <v>1654</v>
      </c>
      <c r="L186" s="90" t="s">
        <v>1623</v>
      </c>
      <c r="M186" t="s">
        <v>1717</v>
      </c>
      <c r="O186" s="146">
        <f t="shared" si="20"/>
        <v>9</v>
      </c>
      <c r="P186" s="146">
        <f t="shared" si="21"/>
        <v>15</v>
      </c>
      <c r="Q186" s="146">
        <f t="shared" si="22"/>
        <v>15</v>
      </c>
      <c r="R186" s="146">
        <f t="shared" si="23"/>
        <v>9</v>
      </c>
      <c r="S186" s="146">
        <f t="shared" si="24"/>
        <v>6</v>
      </c>
      <c r="T186" s="146">
        <f t="shared" si="25"/>
        <v>18</v>
      </c>
      <c r="U186" s="146">
        <f t="shared" si="26"/>
        <v>18</v>
      </c>
      <c r="V186" s="146">
        <f t="shared" si="27"/>
        <v>12</v>
      </c>
      <c r="W186" s="90">
        <f t="shared" si="28"/>
        <v>0</v>
      </c>
      <c r="X186" s="90">
        <f t="shared" si="29"/>
        <v>4</v>
      </c>
    </row>
    <row r="187" spans="1:24">
      <c r="A187" t="s">
        <v>1718</v>
      </c>
      <c r="B187" s="147">
        <v>3</v>
      </c>
      <c r="C187" s="147">
        <v>2</v>
      </c>
      <c r="D187" s="90">
        <v>3</v>
      </c>
      <c r="E187" s="90">
        <v>2</v>
      </c>
      <c r="F187" s="90" t="s">
        <v>1668</v>
      </c>
      <c r="G187" s="147">
        <v>1</v>
      </c>
      <c r="H187" s="147">
        <v>3</v>
      </c>
      <c r="I187" s="90">
        <v>3</v>
      </c>
      <c r="J187" s="90">
        <v>6</v>
      </c>
      <c r="K187" s="90">
        <v>2</v>
      </c>
      <c r="L187" s="90" t="s">
        <v>1719</v>
      </c>
      <c r="M187" t="s">
        <v>1793</v>
      </c>
      <c r="O187" s="146">
        <f t="shared" si="20"/>
        <v>6</v>
      </c>
      <c r="P187" s="146">
        <f t="shared" si="21"/>
        <v>9</v>
      </c>
      <c r="Q187" s="146">
        <f t="shared" si="22"/>
        <v>9</v>
      </c>
      <c r="R187" s="146">
        <f t="shared" si="23"/>
        <v>9</v>
      </c>
      <c r="S187" s="146">
        <f t="shared" si="24"/>
        <v>3</v>
      </c>
      <c r="T187" s="146">
        <f t="shared" si="25"/>
        <v>9</v>
      </c>
      <c r="U187" s="146">
        <f t="shared" si="26"/>
        <v>18</v>
      </c>
      <c r="V187" s="146" t="e">
        <f t="shared" si="27"/>
        <v>#VALUE!</v>
      </c>
      <c r="W187" s="90">
        <f t="shared" si="28"/>
        <v>2</v>
      </c>
      <c r="X187" s="90">
        <f t="shared" si="29"/>
        <v>3</v>
      </c>
    </row>
    <row r="188" spans="1:24">
      <c r="A188" t="s">
        <v>1935</v>
      </c>
      <c r="B188" s="99">
        <v>3</v>
      </c>
      <c r="D188" s="90">
        <v>6</v>
      </c>
      <c r="E188" s="90">
        <v>2</v>
      </c>
      <c r="F188" s="90" t="s">
        <v>1668</v>
      </c>
      <c r="G188" s="147">
        <v>2</v>
      </c>
      <c r="H188" s="147">
        <v>4</v>
      </c>
      <c r="I188" s="90">
        <v>6</v>
      </c>
      <c r="J188" s="90">
        <v>-7</v>
      </c>
      <c r="K188" s="90" t="s">
        <v>1654</v>
      </c>
      <c r="L188" s="90" t="s">
        <v>1423</v>
      </c>
      <c r="M188" t="s">
        <v>1517</v>
      </c>
      <c r="O188" s="146">
        <f t="shared" si="20"/>
        <v>6</v>
      </c>
      <c r="P188" s="146">
        <f t="shared" si="21"/>
        <v>18</v>
      </c>
      <c r="Q188" s="146">
        <f t="shared" si="22"/>
        <v>18</v>
      </c>
      <c r="R188" s="146">
        <f t="shared" si="23"/>
        <v>9</v>
      </c>
      <c r="S188" s="146">
        <f t="shared" si="24"/>
        <v>6</v>
      </c>
      <c r="T188" s="146">
        <f t="shared" si="25"/>
        <v>18</v>
      </c>
      <c r="U188" s="146">
        <f t="shared" si="26"/>
        <v>-21</v>
      </c>
      <c r="V188" s="146" t="e">
        <f t="shared" si="27"/>
        <v>#VALUE!</v>
      </c>
      <c r="W188" s="90">
        <f t="shared" si="28"/>
        <v>0</v>
      </c>
      <c r="X188" s="90">
        <f t="shared" si="29"/>
        <v>4</v>
      </c>
    </row>
    <row r="189" spans="1:24">
      <c r="A189" t="s">
        <v>1370</v>
      </c>
      <c r="B189" s="99">
        <v>5</v>
      </c>
      <c r="D189" s="90">
        <v>6</v>
      </c>
      <c r="E189" s="90">
        <v>4</v>
      </c>
      <c r="F189" s="90" t="s">
        <v>1668</v>
      </c>
      <c r="G189" s="147">
        <v>2</v>
      </c>
      <c r="H189" s="147">
        <v>4</v>
      </c>
      <c r="I189" s="90">
        <v>6</v>
      </c>
      <c r="J189" s="90">
        <v>-7</v>
      </c>
      <c r="K189" s="90" t="s">
        <v>1654</v>
      </c>
      <c r="L189" s="90" t="s">
        <v>1623</v>
      </c>
      <c r="M189" t="s">
        <v>1641</v>
      </c>
      <c r="O189" s="146">
        <f t="shared" si="20"/>
        <v>12</v>
      </c>
      <c r="P189" s="146">
        <f t="shared" si="21"/>
        <v>18</v>
      </c>
      <c r="Q189" s="146">
        <f t="shared" si="22"/>
        <v>18</v>
      </c>
      <c r="R189" s="146">
        <f t="shared" si="23"/>
        <v>15</v>
      </c>
      <c r="S189" s="146">
        <f t="shared" si="24"/>
        <v>6</v>
      </c>
      <c r="T189" s="146">
        <f t="shared" si="25"/>
        <v>18</v>
      </c>
      <c r="U189" s="146">
        <f t="shared" si="26"/>
        <v>-21</v>
      </c>
      <c r="V189" s="146" t="e">
        <f t="shared" si="27"/>
        <v>#VALUE!</v>
      </c>
      <c r="W189" s="90">
        <f t="shared" si="28"/>
        <v>0</v>
      </c>
      <c r="X189" s="90">
        <f t="shared" si="29"/>
        <v>4</v>
      </c>
    </row>
    <row r="190" spans="1:24">
      <c r="A190" t="s">
        <v>1124</v>
      </c>
      <c r="B190" s="99">
        <v>2</v>
      </c>
      <c r="D190" s="90">
        <v>6</v>
      </c>
      <c r="E190" s="90">
        <v>2</v>
      </c>
      <c r="F190" s="90" t="s">
        <v>1668</v>
      </c>
      <c r="G190" s="147">
        <v>2</v>
      </c>
      <c r="H190" s="147">
        <v>4</v>
      </c>
      <c r="I190" s="90">
        <v>6</v>
      </c>
      <c r="J190" s="90">
        <v>-7</v>
      </c>
      <c r="K190" s="90" t="s">
        <v>1654</v>
      </c>
      <c r="L190" s="90" t="s">
        <v>1359</v>
      </c>
      <c r="M190" t="s">
        <v>1641</v>
      </c>
      <c r="O190" s="146">
        <f t="shared" si="20"/>
        <v>6</v>
      </c>
      <c r="P190" s="146">
        <f t="shared" si="21"/>
        <v>18</v>
      </c>
      <c r="Q190" s="146">
        <f t="shared" si="22"/>
        <v>18</v>
      </c>
      <c r="R190" s="146">
        <f t="shared" si="23"/>
        <v>6</v>
      </c>
      <c r="S190" s="146">
        <f t="shared" si="24"/>
        <v>6</v>
      </c>
      <c r="T190" s="146">
        <f t="shared" si="25"/>
        <v>18</v>
      </c>
      <c r="U190" s="146">
        <f t="shared" si="26"/>
        <v>-21</v>
      </c>
      <c r="V190" s="146" t="e">
        <f t="shared" si="27"/>
        <v>#VALUE!</v>
      </c>
      <c r="W190" s="90">
        <f t="shared" si="28"/>
        <v>0</v>
      </c>
      <c r="X190" s="90">
        <f t="shared" si="29"/>
        <v>4</v>
      </c>
    </row>
    <row r="191" spans="1:24">
      <c r="A191" t="s">
        <v>1284</v>
      </c>
      <c r="B191" s="99">
        <v>20</v>
      </c>
      <c r="C191" s="99">
        <v>2</v>
      </c>
      <c r="D191" s="90">
        <v>5</v>
      </c>
      <c r="E191" s="90">
        <v>14</v>
      </c>
      <c r="F191" s="90">
        <v>8</v>
      </c>
      <c r="G191" s="99">
        <v>6</v>
      </c>
      <c r="H191" s="99">
        <v>6</v>
      </c>
      <c r="I191" s="90">
        <v>6</v>
      </c>
      <c r="J191" s="90">
        <v>-9</v>
      </c>
      <c r="K191" s="90" t="s">
        <v>1275</v>
      </c>
      <c r="L191" s="90" t="s">
        <v>1424</v>
      </c>
      <c r="M191" t="s">
        <v>1153</v>
      </c>
      <c r="O191" s="146">
        <f t="shared" si="20"/>
        <v>42</v>
      </c>
      <c r="P191" s="146">
        <f t="shared" si="21"/>
        <v>15</v>
      </c>
      <c r="Q191" s="146">
        <f t="shared" si="22"/>
        <v>15</v>
      </c>
      <c r="R191" s="146">
        <f t="shared" si="23"/>
        <v>60</v>
      </c>
      <c r="S191" s="146">
        <f t="shared" si="24"/>
        <v>18</v>
      </c>
      <c r="T191" s="146">
        <f t="shared" si="25"/>
        <v>18</v>
      </c>
      <c r="U191" s="146">
        <f t="shared" si="26"/>
        <v>-27</v>
      </c>
      <c r="V191" s="146">
        <f t="shared" si="27"/>
        <v>24</v>
      </c>
      <c r="W191" s="90">
        <f t="shared" si="28"/>
        <v>2</v>
      </c>
      <c r="X191" s="90">
        <f t="shared" si="29"/>
        <v>6</v>
      </c>
    </row>
    <row r="192" spans="1:24">
      <c r="A192" t="s">
        <v>1640</v>
      </c>
      <c r="B192" s="99">
        <v>1</v>
      </c>
      <c r="D192" s="90">
        <v>7</v>
      </c>
      <c r="E192" s="90">
        <v>1</v>
      </c>
      <c r="F192" s="90">
        <v>5</v>
      </c>
      <c r="G192" s="147">
        <v>4</v>
      </c>
      <c r="H192" s="147">
        <v>8</v>
      </c>
      <c r="I192" s="90">
        <v>4</v>
      </c>
      <c r="J192" s="90">
        <v>-7</v>
      </c>
      <c r="K192" s="90" t="s">
        <v>1275</v>
      </c>
      <c r="L192" s="90" t="s">
        <v>1034</v>
      </c>
      <c r="M192" t="s">
        <v>1766</v>
      </c>
      <c r="O192" s="146">
        <f t="shared" si="20"/>
        <v>3</v>
      </c>
      <c r="P192" s="146">
        <f t="shared" si="21"/>
        <v>21</v>
      </c>
      <c r="Q192" s="146">
        <f t="shared" si="22"/>
        <v>21</v>
      </c>
      <c r="R192" s="146">
        <f t="shared" si="23"/>
        <v>3</v>
      </c>
      <c r="S192" s="146">
        <f t="shared" si="24"/>
        <v>12</v>
      </c>
      <c r="T192" s="146">
        <f t="shared" si="25"/>
        <v>12</v>
      </c>
      <c r="U192" s="146">
        <f t="shared" si="26"/>
        <v>-21</v>
      </c>
      <c r="V192" s="146">
        <f t="shared" si="27"/>
        <v>15</v>
      </c>
      <c r="W192" s="90">
        <f t="shared" si="28"/>
        <v>0</v>
      </c>
      <c r="X192" s="90">
        <f t="shared" si="29"/>
        <v>8</v>
      </c>
    </row>
    <row r="193" spans="1:24">
      <c r="A193" t="s">
        <v>1433</v>
      </c>
      <c r="B193" s="99">
        <v>1</v>
      </c>
      <c r="D193" s="90">
        <v>3</v>
      </c>
      <c r="E193" s="90">
        <v>0</v>
      </c>
      <c r="F193" s="90" t="s">
        <v>1668</v>
      </c>
      <c r="G193" s="147">
        <v>1</v>
      </c>
      <c r="H193" s="147">
        <v>2</v>
      </c>
      <c r="I193" s="90">
        <v>2</v>
      </c>
      <c r="J193" s="90">
        <v>-6</v>
      </c>
      <c r="K193" s="90">
        <v>2</v>
      </c>
      <c r="L193" s="90" t="s">
        <v>1434</v>
      </c>
      <c r="M193" t="s">
        <v>1369</v>
      </c>
      <c r="O193" s="146">
        <f t="shared" si="20"/>
        <v>0</v>
      </c>
      <c r="P193" s="146">
        <f t="shared" si="21"/>
        <v>9</v>
      </c>
      <c r="Q193" s="146">
        <f t="shared" si="22"/>
        <v>9</v>
      </c>
      <c r="R193" s="146">
        <f t="shared" si="23"/>
        <v>3</v>
      </c>
      <c r="S193" s="146">
        <f t="shared" si="24"/>
        <v>3</v>
      </c>
      <c r="T193" s="146">
        <f t="shared" si="25"/>
        <v>6</v>
      </c>
      <c r="U193" s="146">
        <f t="shared" si="26"/>
        <v>-18</v>
      </c>
      <c r="V193" s="146" t="e">
        <f t="shared" si="27"/>
        <v>#VALUE!</v>
      </c>
      <c r="W193" s="90">
        <f t="shared" si="28"/>
        <v>0</v>
      </c>
      <c r="X193" s="90">
        <f t="shared" si="29"/>
        <v>2</v>
      </c>
    </row>
    <row r="194" spans="1:24">
      <c r="A194" t="s">
        <v>1435</v>
      </c>
      <c r="B194" s="99" t="s">
        <v>2012</v>
      </c>
      <c r="C194" s="99" t="s">
        <v>2012</v>
      </c>
      <c r="D194" s="90" t="s">
        <v>2012</v>
      </c>
      <c r="E194" s="90" t="s">
        <v>2012</v>
      </c>
      <c r="F194" s="90" t="s">
        <v>2012</v>
      </c>
      <c r="G194" s="99" t="s">
        <v>2012</v>
      </c>
      <c r="H194" s="99" t="s">
        <v>2012</v>
      </c>
      <c r="I194" s="90" t="s">
        <v>2012</v>
      </c>
      <c r="J194" s="90" t="s">
        <v>1265</v>
      </c>
      <c r="K194" s="90" t="s">
        <v>2012</v>
      </c>
      <c r="L194" s="90" t="s">
        <v>1746</v>
      </c>
      <c r="M194" t="s">
        <v>1369</v>
      </c>
      <c r="O194" s="146" t="e">
        <f t="shared" si="20"/>
        <v>#VALUE!</v>
      </c>
      <c r="P194" s="146" t="e">
        <f t="shared" si="21"/>
        <v>#VALUE!</v>
      </c>
      <c r="Q194" s="146" t="e">
        <f t="shared" si="22"/>
        <v>#VALUE!</v>
      </c>
      <c r="R194" s="146" t="e">
        <f t="shared" si="23"/>
        <v>#VALUE!</v>
      </c>
      <c r="S194" s="146" t="e">
        <f t="shared" si="24"/>
        <v>#VALUE!</v>
      </c>
      <c r="T194" s="146" t="e">
        <f t="shared" si="25"/>
        <v>#VALUE!</v>
      </c>
      <c r="U194" s="146" t="e">
        <f t="shared" si="26"/>
        <v>#VALUE!</v>
      </c>
      <c r="V194" s="146" t="e">
        <f t="shared" si="27"/>
        <v>#VALUE!</v>
      </c>
      <c r="W194" s="90" t="str">
        <f t="shared" si="28"/>
        <v>C</v>
      </c>
      <c r="X194" s="90" t="str">
        <f t="shared" si="29"/>
        <v>C</v>
      </c>
    </row>
    <row r="195" spans="1:24">
      <c r="A195" t="s">
        <v>1060</v>
      </c>
      <c r="B195" s="99">
        <v>2</v>
      </c>
      <c r="D195" s="90">
        <v>5</v>
      </c>
      <c r="E195" s="90">
        <v>1</v>
      </c>
      <c r="F195" s="90">
        <v>4</v>
      </c>
      <c r="G195" s="147">
        <v>3</v>
      </c>
      <c r="H195" s="147">
        <v>6</v>
      </c>
      <c r="I195" s="90">
        <v>3</v>
      </c>
      <c r="J195" s="90">
        <v>-6</v>
      </c>
      <c r="K195" s="90" t="s">
        <v>1031</v>
      </c>
      <c r="L195" s="90" t="s">
        <v>1647</v>
      </c>
      <c r="M195" t="s">
        <v>1369</v>
      </c>
      <c r="O195" s="146">
        <f t="shared" ref="O195:O235" si="30">E195*3</f>
        <v>3</v>
      </c>
      <c r="P195" s="146">
        <f t="shared" ref="P195:P235" si="31">D195*3</f>
        <v>15</v>
      </c>
      <c r="Q195" s="146">
        <f t="shared" ref="Q195:Q235" si="32">D195*3</f>
        <v>15</v>
      </c>
      <c r="R195" s="146">
        <f t="shared" ref="R195:R235" si="33">B195*3</f>
        <v>6</v>
      </c>
      <c r="S195" s="146">
        <f t="shared" ref="S195:S235" si="34">G195*3</f>
        <v>9</v>
      </c>
      <c r="T195" s="146">
        <f t="shared" ref="T195:T235" si="35">I195*3</f>
        <v>9</v>
      </c>
      <c r="U195" s="146">
        <f t="shared" ref="U195:U235" si="36">J195*3</f>
        <v>-18</v>
      </c>
      <c r="V195" s="146">
        <f t="shared" ref="V195:V235" si="37">F195*3</f>
        <v>12</v>
      </c>
      <c r="W195" s="90">
        <f t="shared" ref="W195:W235" si="38">C195</f>
        <v>0</v>
      </c>
      <c r="X195" s="90">
        <f t="shared" ref="X195:X235" si="39">H195</f>
        <v>6</v>
      </c>
    </row>
    <row r="196" spans="1:24">
      <c r="A196" t="s">
        <v>1055</v>
      </c>
      <c r="B196" s="99">
        <v>9</v>
      </c>
      <c r="D196" s="90">
        <v>4</v>
      </c>
      <c r="E196" s="90">
        <v>7</v>
      </c>
      <c r="F196" s="90" t="s">
        <v>1668</v>
      </c>
      <c r="G196" s="147">
        <v>2</v>
      </c>
      <c r="H196" s="147">
        <v>5</v>
      </c>
      <c r="I196" s="90">
        <v>3</v>
      </c>
      <c r="J196" s="90">
        <v>6</v>
      </c>
      <c r="K196" s="90">
        <v>5</v>
      </c>
      <c r="L196" s="90" t="s">
        <v>1680</v>
      </c>
      <c r="M196" t="s">
        <v>1080</v>
      </c>
      <c r="O196" s="146">
        <f t="shared" si="30"/>
        <v>21</v>
      </c>
      <c r="P196" s="146">
        <f t="shared" si="31"/>
        <v>12</v>
      </c>
      <c r="Q196" s="146">
        <f t="shared" si="32"/>
        <v>12</v>
      </c>
      <c r="R196" s="146">
        <f t="shared" si="33"/>
        <v>27</v>
      </c>
      <c r="S196" s="146">
        <f t="shared" si="34"/>
        <v>6</v>
      </c>
      <c r="T196" s="146">
        <f t="shared" si="35"/>
        <v>9</v>
      </c>
      <c r="U196" s="146">
        <f t="shared" si="36"/>
        <v>18</v>
      </c>
      <c r="V196" s="146" t="e">
        <f t="shared" si="37"/>
        <v>#VALUE!</v>
      </c>
      <c r="W196" s="90">
        <f t="shared" si="38"/>
        <v>0</v>
      </c>
      <c r="X196" s="90">
        <f t="shared" si="39"/>
        <v>5</v>
      </c>
    </row>
    <row r="197" spans="1:24">
      <c r="A197" t="s">
        <v>1188</v>
      </c>
      <c r="B197" s="99">
        <v>8</v>
      </c>
      <c r="D197" s="90">
        <v>4</v>
      </c>
      <c r="E197" s="90">
        <v>7</v>
      </c>
      <c r="F197" s="90" t="s">
        <v>1668</v>
      </c>
      <c r="G197" s="147">
        <v>2</v>
      </c>
      <c r="H197" s="147">
        <v>4</v>
      </c>
      <c r="I197" s="90">
        <v>3</v>
      </c>
      <c r="J197" s="90">
        <v>6</v>
      </c>
      <c r="K197" s="90" t="s">
        <v>2039</v>
      </c>
      <c r="L197" s="90" t="s">
        <v>1822</v>
      </c>
      <c r="M197" t="s">
        <v>652</v>
      </c>
      <c r="O197" s="146">
        <f t="shared" si="30"/>
        <v>21</v>
      </c>
      <c r="P197" s="146">
        <f t="shared" si="31"/>
        <v>12</v>
      </c>
      <c r="Q197" s="146">
        <f t="shared" si="32"/>
        <v>12</v>
      </c>
      <c r="R197" s="146">
        <f t="shared" si="33"/>
        <v>24</v>
      </c>
      <c r="S197" s="146">
        <f t="shared" si="34"/>
        <v>6</v>
      </c>
      <c r="T197" s="146">
        <f t="shared" si="35"/>
        <v>9</v>
      </c>
      <c r="U197" s="146">
        <f t="shared" si="36"/>
        <v>18</v>
      </c>
      <c r="V197" s="146" t="e">
        <f t="shared" si="37"/>
        <v>#VALUE!</v>
      </c>
      <c r="W197" s="90">
        <f t="shared" si="38"/>
        <v>0</v>
      </c>
      <c r="X197" s="90">
        <f t="shared" si="39"/>
        <v>4</v>
      </c>
    </row>
    <row r="198" spans="1:24">
      <c r="A198" t="s">
        <v>653</v>
      </c>
      <c r="B198" s="99" t="s">
        <v>654</v>
      </c>
      <c r="C198" s="99" t="s">
        <v>654</v>
      </c>
      <c r="D198" s="90">
        <v>3</v>
      </c>
      <c r="E198" s="90" t="s">
        <v>654</v>
      </c>
      <c r="F198" s="90" t="s">
        <v>1668</v>
      </c>
      <c r="G198" s="99">
        <v>0</v>
      </c>
      <c r="H198" s="99">
        <v>2</v>
      </c>
      <c r="I198" s="90">
        <v>2</v>
      </c>
      <c r="J198" s="90">
        <v>4</v>
      </c>
      <c r="K198" s="90">
        <v>2</v>
      </c>
      <c r="L198" s="90" t="s">
        <v>1175</v>
      </c>
      <c r="M198" t="s">
        <v>1138</v>
      </c>
      <c r="O198" s="146" t="e">
        <f t="shared" si="30"/>
        <v>#VALUE!</v>
      </c>
      <c r="P198" s="146">
        <f t="shared" si="31"/>
        <v>9</v>
      </c>
      <c r="Q198" s="146">
        <f t="shared" si="32"/>
        <v>9</v>
      </c>
      <c r="R198" s="146" t="e">
        <f t="shared" si="33"/>
        <v>#VALUE!</v>
      </c>
      <c r="S198" s="146">
        <f t="shared" si="34"/>
        <v>0</v>
      </c>
      <c r="T198" s="146">
        <f t="shared" si="35"/>
        <v>6</v>
      </c>
      <c r="U198" s="146">
        <f t="shared" si="36"/>
        <v>12</v>
      </c>
      <c r="V198" s="146" t="e">
        <f t="shared" si="37"/>
        <v>#VALUE!</v>
      </c>
      <c r="W198" s="90" t="str">
        <f t="shared" si="38"/>
        <v>V</v>
      </c>
      <c r="X198" s="90">
        <f t="shared" si="39"/>
        <v>2</v>
      </c>
    </row>
    <row r="199" spans="1:24">
      <c r="A199" t="s">
        <v>1139</v>
      </c>
      <c r="B199" s="99">
        <v>1</v>
      </c>
      <c r="D199" s="90">
        <v>7</v>
      </c>
      <c r="E199" s="90">
        <v>1</v>
      </c>
      <c r="F199" s="90" t="s">
        <v>1668</v>
      </c>
      <c r="G199" s="147">
        <v>2</v>
      </c>
      <c r="H199" s="147">
        <v>5</v>
      </c>
      <c r="I199" s="90">
        <v>3</v>
      </c>
      <c r="J199" s="90">
        <v>6</v>
      </c>
      <c r="K199" s="90" t="s">
        <v>1031</v>
      </c>
      <c r="L199" s="90" t="s">
        <v>2030</v>
      </c>
      <c r="M199" t="s">
        <v>1095</v>
      </c>
      <c r="O199" s="146">
        <f t="shared" si="30"/>
        <v>3</v>
      </c>
      <c r="P199" s="146">
        <f t="shared" si="31"/>
        <v>21</v>
      </c>
      <c r="Q199" s="146">
        <f t="shared" si="32"/>
        <v>21</v>
      </c>
      <c r="R199" s="146">
        <f t="shared" si="33"/>
        <v>3</v>
      </c>
      <c r="S199" s="146">
        <f t="shared" si="34"/>
        <v>6</v>
      </c>
      <c r="T199" s="146">
        <f t="shared" si="35"/>
        <v>9</v>
      </c>
      <c r="U199" s="146">
        <f t="shared" si="36"/>
        <v>18</v>
      </c>
      <c r="V199" s="146" t="e">
        <f t="shared" si="37"/>
        <v>#VALUE!</v>
      </c>
      <c r="W199" s="90">
        <f t="shared" si="38"/>
        <v>0</v>
      </c>
      <c r="X199" s="90">
        <f t="shared" si="39"/>
        <v>5</v>
      </c>
    </row>
    <row r="200" spans="1:24">
      <c r="A200" t="s">
        <v>1096</v>
      </c>
      <c r="B200" s="99">
        <v>2</v>
      </c>
      <c r="D200" s="90">
        <v>4</v>
      </c>
      <c r="E200" s="90">
        <v>2</v>
      </c>
      <c r="F200" s="90" t="s">
        <v>1668</v>
      </c>
      <c r="G200" s="147">
        <v>2</v>
      </c>
      <c r="H200" s="147">
        <v>4</v>
      </c>
      <c r="I200" s="90">
        <v>3</v>
      </c>
      <c r="J200" s="90">
        <v>6</v>
      </c>
      <c r="K200" s="90">
        <v>3</v>
      </c>
      <c r="L200" s="90" t="s">
        <v>1647</v>
      </c>
      <c r="M200" t="s">
        <v>844</v>
      </c>
      <c r="O200" s="146">
        <f t="shared" si="30"/>
        <v>6</v>
      </c>
      <c r="P200" s="146">
        <f t="shared" si="31"/>
        <v>12</v>
      </c>
      <c r="Q200" s="146">
        <f t="shared" si="32"/>
        <v>12</v>
      </c>
      <c r="R200" s="146">
        <f t="shared" si="33"/>
        <v>6</v>
      </c>
      <c r="S200" s="146">
        <f t="shared" si="34"/>
        <v>6</v>
      </c>
      <c r="T200" s="146">
        <f t="shared" si="35"/>
        <v>9</v>
      </c>
      <c r="U200" s="146">
        <f t="shared" si="36"/>
        <v>18</v>
      </c>
      <c r="V200" s="146" t="e">
        <f t="shared" si="37"/>
        <v>#VALUE!</v>
      </c>
      <c r="W200" s="90">
        <f t="shared" si="38"/>
        <v>0</v>
      </c>
      <c r="X200" s="90">
        <f t="shared" si="39"/>
        <v>4</v>
      </c>
    </row>
    <row r="201" spans="1:24">
      <c r="A201" t="s">
        <v>1189</v>
      </c>
      <c r="B201" s="99">
        <v>3</v>
      </c>
      <c r="D201" s="90">
        <v>4</v>
      </c>
      <c r="E201" s="90">
        <v>3</v>
      </c>
      <c r="F201" s="90" t="s">
        <v>1668</v>
      </c>
      <c r="G201" s="147">
        <v>2</v>
      </c>
      <c r="H201" s="147">
        <v>4</v>
      </c>
      <c r="I201" s="90">
        <v>3</v>
      </c>
      <c r="J201" s="90">
        <v>6</v>
      </c>
      <c r="K201" s="90">
        <v>3</v>
      </c>
      <c r="L201" s="90" t="s">
        <v>1647</v>
      </c>
      <c r="M201" t="s">
        <v>1369</v>
      </c>
      <c r="O201" s="146">
        <f t="shared" si="30"/>
        <v>9</v>
      </c>
      <c r="P201" s="146">
        <f t="shared" si="31"/>
        <v>12</v>
      </c>
      <c r="Q201" s="146">
        <f t="shared" si="32"/>
        <v>12</v>
      </c>
      <c r="R201" s="146">
        <f t="shared" si="33"/>
        <v>9</v>
      </c>
      <c r="S201" s="146">
        <f t="shared" si="34"/>
        <v>6</v>
      </c>
      <c r="T201" s="146">
        <f t="shared" si="35"/>
        <v>9</v>
      </c>
      <c r="U201" s="146">
        <f t="shared" si="36"/>
        <v>18</v>
      </c>
      <c r="V201" s="146" t="e">
        <f t="shared" si="37"/>
        <v>#VALUE!</v>
      </c>
      <c r="W201" s="90">
        <f t="shared" si="38"/>
        <v>0</v>
      </c>
      <c r="X201" s="90">
        <f t="shared" si="39"/>
        <v>4</v>
      </c>
    </row>
    <row r="202" spans="1:24">
      <c r="A202" t="s">
        <v>1190</v>
      </c>
      <c r="B202" s="147">
        <v>2</v>
      </c>
      <c r="C202" s="147">
        <v>1</v>
      </c>
      <c r="D202" s="90">
        <v>5</v>
      </c>
      <c r="E202" s="90">
        <v>1</v>
      </c>
      <c r="F202" s="90" t="s">
        <v>1668</v>
      </c>
      <c r="G202" s="147">
        <v>1</v>
      </c>
      <c r="H202" s="147">
        <v>4</v>
      </c>
      <c r="I202" s="90">
        <v>2</v>
      </c>
      <c r="J202" s="90">
        <v>6</v>
      </c>
      <c r="K202" s="90">
        <v>3</v>
      </c>
      <c r="L202" s="90" t="s">
        <v>1359</v>
      </c>
      <c r="M202" t="s">
        <v>911</v>
      </c>
      <c r="O202" s="146">
        <f t="shared" si="30"/>
        <v>3</v>
      </c>
      <c r="P202" s="146">
        <f t="shared" si="31"/>
        <v>15</v>
      </c>
      <c r="Q202" s="146">
        <f t="shared" si="32"/>
        <v>15</v>
      </c>
      <c r="R202" s="146">
        <f t="shared" si="33"/>
        <v>6</v>
      </c>
      <c r="S202" s="146">
        <f t="shared" si="34"/>
        <v>3</v>
      </c>
      <c r="T202" s="146">
        <f t="shared" si="35"/>
        <v>6</v>
      </c>
      <c r="U202" s="146">
        <f t="shared" si="36"/>
        <v>18</v>
      </c>
      <c r="V202" s="146" t="e">
        <f t="shared" si="37"/>
        <v>#VALUE!</v>
      </c>
      <c r="W202" s="90">
        <f t="shared" si="38"/>
        <v>1</v>
      </c>
      <c r="X202" s="90">
        <f t="shared" si="39"/>
        <v>4</v>
      </c>
    </row>
    <row r="203" spans="1:24">
      <c r="A203" t="s">
        <v>1040</v>
      </c>
      <c r="B203" s="99" t="s">
        <v>654</v>
      </c>
      <c r="C203" s="99" t="s">
        <v>654</v>
      </c>
      <c r="D203" s="90">
        <v>5</v>
      </c>
      <c r="E203" s="90" t="s">
        <v>654</v>
      </c>
      <c r="F203" s="90" t="s">
        <v>1668</v>
      </c>
      <c r="G203" s="147">
        <v>1</v>
      </c>
      <c r="H203" s="147">
        <v>4</v>
      </c>
      <c r="I203" s="90">
        <v>5</v>
      </c>
      <c r="J203" s="90">
        <v>6</v>
      </c>
      <c r="K203" s="90" t="s">
        <v>901</v>
      </c>
      <c r="L203" s="90" t="s">
        <v>654</v>
      </c>
      <c r="M203" t="s">
        <v>1041</v>
      </c>
      <c r="O203" s="146" t="e">
        <f t="shared" si="30"/>
        <v>#VALUE!</v>
      </c>
      <c r="P203" s="146">
        <f t="shared" si="31"/>
        <v>15</v>
      </c>
      <c r="Q203" s="146">
        <f t="shared" si="32"/>
        <v>15</v>
      </c>
      <c r="R203" s="146" t="e">
        <f t="shared" si="33"/>
        <v>#VALUE!</v>
      </c>
      <c r="S203" s="146">
        <f t="shared" si="34"/>
        <v>3</v>
      </c>
      <c r="T203" s="146">
        <f t="shared" si="35"/>
        <v>15</v>
      </c>
      <c r="U203" s="146">
        <f t="shared" si="36"/>
        <v>18</v>
      </c>
      <c r="V203" s="146" t="e">
        <f t="shared" si="37"/>
        <v>#VALUE!</v>
      </c>
      <c r="W203" s="90" t="str">
        <f t="shared" si="38"/>
        <v>V</v>
      </c>
      <c r="X203" s="90">
        <f t="shared" si="39"/>
        <v>4</v>
      </c>
    </row>
    <row r="204" spans="1:24">
      <c r="A204" t="s">
        <v>1430</v>
      </c>
      <c r="B204" s="99">
        <v>2</v>
      </c>
      <c r="D204" s="90">
        <v>10</v>
      </c>
      <c r="E204" s="90">
        <v>1</v>
      </c>
      <c r="F204" s="90">
        <v>3</v>
      </c>
      <c r="G204" s="147">
        <v>4</v>
      </c>
      <c r="H204" s="147">
        <v>4</v>
      </c>
      <c r="I204" s="90">
        <v>4</v>
      </c>
      <c r="J204" s="90">
        <v>6</v>
      </c>
      <c r="K204" s="90" t="s">
        <v>1587</v>
      </c>
      <c r="L204" s="90" t="s">
        <v>1042</v>
      </c>
      <c r="M204" t="s">
        <v>1470</v>
      </c>
      <c r="O204" s="146">
        <f t="shared" si="30"/>
        <v>3</v>
      </c>
      <c r="P204" s="146">
        <f t="shared" si="31"/>
        <v>30</v>
      </c>
      <c r="Q204" s="146">
        <f t="shared" si="32"/>
        <v>30</v>
      </c>
      <c r="R204" s="146">
        <f t="shared" si="33"/>
        <v>6</v>
      </c>
      <c r="S204" s="146">
        <f t="shared" si="34"/>
        <v>12</v>
      </c>
      <c r="T204" s="146">
        <f t="shared" si="35"/>
        <v>12</v>
      </c>
      <c r="U204" s="146">
        <f t="shared" si="36"/>
        <v>18</v>
      </c>
      <c r="V204" s="146">
        <f t="shared" si="37"/>
        <v>9</v>
      </c>
      <c r="W204" s="90">
        <f t="shared" si="38"/>
        <v>0</v>
      </c>
      <c r="X204" s="90">
        <f t="shared" si="39"/>
        <v>4</v>
      </c>
    </row>
    <row r="205" spans="1:24">
      <c r="A205" t="s">
        <v>1472</v>
      </c>
      <c r="B205" s="99">
        <v>1</v>
      </c>
      <c r="D205" s="90">
        <v>3</v>
      </c>
      <c r="E205" s="90">
        <v>0</v>
      </c>
      <c r="F205" s="90" t="s">
        <v>1668</v>
      </c>
      <c r="G205" s="147">
        <v>1</v>
      </c>
      <c r="H205" s="147">
        <v>4</v>
      </c>
      <c r="I205" s="90">
        <v>2</v>
      </c>
      <c r="J205" s="90">
        <v>-6</v>
      </c>
      <c r="K205" s="90">
        <v>4</v>
      </c>
      <c r="L205" s="90" t="s">
        <v>1434</v>
      </c>
      <c r="M205" t="s">
        <v>844</v>
      </c>
      <c r="O205" s="146">
        <f t="shared" si="30"/>
        <v>0</v>
      </c>
      <c r="P205" s="146">
        <f t="shared" si="31"/>
        <v>9</v>
      </c>
      <c r="Q205" s="146">
        <f t="shared" si="32"/>
        <v>9</v>
      </c>
      <c r="R205" s="146">
        <f t="shared" si="33"/>
        <v>3</v>
      </c>
      <c r="S205" s="146">
        <f t="shared" si="34"/>
        <v>3</v>
      </c>
      <c r="T205" s="146">
        <f t="shared" si="35"/>
        <v>6</v>
      </c>
      <c r="U205" s="146">
        <f t="shared" si="36"/>
        <v>-18</v>
      </c>
      <c r="V205" s="146" t="e">
        <f t="shared" si="37"/>
        <v>#VALUE!</v>
      </c>
      <c r="W205" s="90">
        <f t="shared" si="38"/>
        <v>0</v>
      </c>
      <c r="X205" s="90">
        <f t="shared" si="39"/>
        <v>4</v>
      </c>
    </row>
    <row r="206" spans="1:24">
      <c r="A206" t="s">
        <v>1473</v>
      </c>
      <c r="B206" s="99">
        <v>4</v>
      </c>
      <c r="D206" s="90">
        <v>6</v>
      </c>
      <c r="E206" s="90">
        <v>3</v>
      </c>
      <c r="F206" s="90">
        <v>4</v>
      </c>
      <c r="G206" s="147">
        <v>3</v>
      </c>
      <c r="H206" s="147">
        <v>6</v>
      </c>
      <c r="I206" s="90">
        <v>4</v>
      </c>
      <c r="J206" s="90">
        <v>-7</v>
      </c>
      <c r="K206" s="90">
        <v>5</v>
      </c>
      <c r="L206" s="90" t="s">
        <v>1447</v>
      </c>
      <c r="M206" t="s">
        <v>1340</v>
      </c>
      <c r="O206" s="146">
        <f t="shared" si="30"/>
        <v>9</v>
      </c>
      <c r="P206" s="146">
        <f t="shared" si="31"/>
        <v>18</v>
      </c>
      <c r="Q206" s="146">
        <f t="shared" si="32"/>
        <v>18</v>
      </c>
      <c r="R206" s="146">
        <f t="shared" si="33"/>
        <v>12</v>
      </c>
      <c r="S206" s="146">
        <f t="shared" si="34"/>
        <v>9</v>
      </c>
      <c r="T206" s="146">
        <f t="shared" si="35"/>
        <v>12</v>
      </c>
      <c r="U206" s="146">
        <f t="shared" si="36"/>
        <v>-21</v>
      </c>
      <c r="V206" s="146">
        <f t="shared" si="37"/>
        <v>12</v>
      </c>
      <c r="W206" s="90">
        <f t="shared" si="38"/>
        <v>0</v>
      </c>
      <c r="X206" s="90">
        <f t="shared" si="39"/>
        <v>6</v>
      </c>
    </row>
    <row r="207" spans="1:24">
      <c r="A207" t="s">
        <v>1341</v>
      </c>
      <c r="B207" s="99">
        <v>3</v>
      </c>
      <c r="D207" s="90">
        <v>4</v>
      </c>
      <c r="E207" s="90">
        <v>2</v>
      </c>
      <c r="F207" s="90" t="s">
        <v>1668</v>
      </c>
      <c r="G207" s="147">
        <v>2</v>
      </c>
      <c r="H207" s="147">
        <v>4</v>
      </c>
      <c r="I207" s="90">
        <v>4</v>
      </c>
      <c r="J207" s="90">
        <v>6</v>
      </c>
      <c r="K207" s="90">
        <v>3</v>
      </c>
      <c r="L207" s="90" t="s">
        <v>1647</v>
      </c>
      <c r="M207" t="s">
        <v>1340</v>
      </c>
      <c r="O207" s="146">
        <f t="shared" si="30"/>
        <v>6</v>
      </c>
      <c r="P207" s="146">
        <f t="shared" si="31"/>
        <v>12</v>
      </c>
      <c r="Q207" s="146">
        <f t="shared" si="32"/>
        <v>12</v>
      </c>
      <c r="R207" s="146">
        <f t="shared" si="33"/>
        <v>9</v>
      </c>
      <c r="S207" s="146">
        <f t="shared" si="34"/>
        <v>6</v>
      </c>
      <c r="T207" s="146">
        <f t="shared" si="35"/>
        <v>12</v>
      </c>
      <c r="U207" s="146">
        <f t="shared" si="36"/>
        <v>18</v>
      </c>
      <c r="V207" s="146" t="e">
        <f t="shared" si="37"/>
        <v>#VALUE!</v>
      </c>
      <c r="W207" s="90">
        <f t="shared" si="38"/>
        <v>0</v>
      </c>
      <c r="X207" s="90">
        <f t="shared" si="39"/>
        <v>4</v>
      </c>
    </row>
    <row r="208" spans="1:24">
      <c r="A208" t="s">
        <v>1342</v>
      </c>
      <c r="B208" s="99">
        <v>1</v>
      </c>
      <c r="D208" s="90">
        <v>4</v>
      </c>
      <c r="E208" s="90">
        <v>0</v>
      </c>
      <c r="F208" s="90" t="s">
        <v>1668</v>
      </c>
      <c r="G208" s="147">
        <v>1</v>
      </c>
      <c r="H208" s="147">
        <v>3</v>
      </c>
      <c r="I208" s="90">
        <v>2</v>
      </c>
      <c r="J208" s="90">
        <v>6</v>
      </c>
      <c r="K208" s="90">
        <v>3</v>
      </c>
      <c r="L208" s="90" t="s">
        <v>1175</v>
      </c>
      <c r="M208" t="s">
        <v>1340</v>
      </c>
      <c r="O208" s="146">
        <f t="shared" si="30"/>
        <v>0</v>
      </c>
      <c r="P208" s="146">
        <f t="shared" si="31"/>
        <v>12</v>
      </c>
      <c r="Q208" s="146">
        <f t="shared" si="32"/>
        <v>12</v>
      </c>
      <c r="R208" s="146">
        <f t="shared" si="33"/>
        <v>3</v>
      </c>
      <c r="S208" s="146">
        <f t="shared" si="34"/>
        <v>3</v>
      </c>
      <c r="T208" s="146">
        <f t="shared" si="35"/>
        <v>6</v>
      </c>
      <c r="U208" s="146">
        <f t="shared" si="36"/>
        <v>18</v>
      </c>
      <c r="V208" s="146" t="e">
        <f t="shared" si="37"/>
        <v>#VALUE!</v>
      </c>
      <c r="W208" s="90">
        <f t="shared" si="38"/>
        <v>0</v>
      </c>
      <c r="X208" s="90">
        <f t="shared" si="39"/>
        <v>3</v>
      </c>
    </row>
    <row r="209" spans="1:24">
      <c r="A209" t="s">
        <v>1343</v>
      </c>
      <c r="B209" s="99" t="s">
        <v>2012</v>
      </c>
      <c r="C209" s="99" t="s">
        <v>2012</v>
      </c>
      <c r="D209" s="90" t="s">
        <v>2012</v>
      </c>
      <c r="E209" s="90" t="s">
        <v>2012</v>
      </c>
      <c r="F209" s="90" t="s">
        <v>2012</v>
      </c>
      <c r="G209" s="99" t="s">
        <v>2012</v>
      </c>
      <c r="H209" s="99" t="s">
        <v>2012</v>
      </c>
      <c r="I209" s="90" t="s">
        <v>2012</v>
      </c>
      <c r="J209" s="90" t="s">
        <v>1344</v>
      </c>
      <c r="K209" s="90" t="s">
        <v>2012</v>
      </c>
      <c r="L209" s="90" t="s">
        <v>1746</v>
      </c>
      <c r="M209" t="s">
        <v>1340</v>
      </c>
      <c r="O209" s="146" t="e">
        <f t="shared" si="30"/>
        <v>#VALUE!</v>
      </c>
      <c r="P209" s="146" t="e">
        <f t="shared" si="31"/>
        <v>#VALUE!</v>
      </c>
      <c r="Q209" s="146" t="e">
        <f t="shared" si="32"/>
        <v>#VALUE!</v>
      </c>
      <c r="R209" s="146" t="e">
        <f t="shared" si="33"/>
        <v>#VALUE!</v>
      </c>
      <c r="S209" s="146" t="e">
        <f t="shared" si="34"/>
        <v>#VALUE!</v>
      </c>
      <c r="T209" s="146" t="e">
        <f t="shared" si="35"/>
        <v>#VALUE!</v>
      </c>
      <c r="U209" s="146" t="e">
        <f t="shared" si="36"/>
        <v>#VALUE!</v>
      </c>
      <c r="V209" s="146" t="e">
        <f t="shared" si="37"/>
        <v>#VALUE!</v>
      </c>
      <c r="W209" s="90" t="str">
        <f t="shared" si="38"/>
        <v>C</v>
      </c>
      <c r="X209" s="90" t="str">
        <f t="shared" si="39"/>
        <v>C</v>
      </c>
    </row>
    <row r="210" spans="1:24">
      <c r="A210" t="s">
        <v>1471</v>
      </c>
      <c r="B210" s="99">
        <v>1</v>
      </c>
      <c r="D210" s="90">
        <v>4</v>
      </c>
      <c r="E210" s="90">
        <v>1</v>
      </c>
      <c r="F210" s="90" t="s">
        <v>1668</v>
      </c>
      <c r="G210" s="147">
        <v>1</v>
      </c>
      <c r="H210" s="147">
        <v>3</v>
      </c>
      <c r="I210" s="90">
        <v>4</v>
      </c>
      <c r="J210" s="90">
        <v>6</v>
      </c>
      <c r="K210" s="90">
        <v>3</v>
      </c>
      <c r="L210" s="90" t="s">
        <v>1290</v>
      </c>
      <c r="M210" t="s">
        <v>1340</v>
      </c>
      <c r="O210" s="146">
        <f t="shared" si="30"/>
        <v>3</v>
      </c>
      <c r="P210" s="146">
        <f t="shared" si="31"/>
        <v>12</v>
      </c>
      <c r="Q210" s="146">
        <f t="shared" si="32"/>
        <v>12</v>
      </c>
      <c r="R210" s="146">
        <f t="shared" si="33"/>
        <v>3</v>
      </c>
      <c r="S210" s="146">
        <f t="shared" si="34"/>
        <v>3</v>
      </c>
      <c r="T210" s="146">
        <f t="shared" si="35"/>
        <v>12</v>
      </c>
      <c r="U210" s="146">
        <f t="shared" si="36"/>
        <v>18</v>
      </c>
      <c r="V210" s="146" t="e">
        <f t="shared" si="37"/>
        <v>#VALUE!</v>
      </c>
      <c r="W210" s="90">
        <f t="shared" si="38"/>
        <v>0</v>
      </c>
      <c r="X210" s="90">
        <f t="shared" si="39"/>
        <v>3</v>
      </c>
    </row>
    <row r="211" spans="1:24">
      <c r="A211" t="s">
        <v>1309</v>
      </c>
      <c r="B211" s="147">
        <v>12</v>
      </c>
      <c r="C211" s="147">
        <v>1</v>
      </c>
      <c r="D211" s="90">
        <v>3</v>
      </c>
      <c r="E211" s="90">
        <v>11</v>
      </c>
      <c r="F211" s="90" t="s">
        <v>1668</v>
      </c>
      <c r="G211" s="147">
        <v>1</v>
      </c>
      <c r="H211" s="147">
        <v>6</v>
      </c>
      <c r="I211" s="90">
        <v>6</v>
      </c>
      <c r="J211" s="90">
        <v>4</v>
      </c>
      <c r="K211" s="90">
        <v>2</v>
      </c>
      <c r="L211" s="90" t="s">
        <v>1310</v>
      </c>
      <c r="M211" t="s">
        <v>936</v>
      </c>
      <c r="O211" s="146">
        <f t="shared" si="30"/>
        <v>33</v>
      </c>
      <c r="P211" s="146">
        <f t="shared" si="31"/>
        <v>9</v>
      </c>
      <c r="Q211" s="146">
        <f t="shared" si="32"/>
        <v>9</v>
      </c>
      <c r="R211" s="146">
        <f t="shared" si="33"/>
        <v>36</v>
      </c>
      <c r="S211" s="146">
        <f t="shared" si="34"/>
        <v>3</v>
      </c>
      <c r="T211" s="146">
        <f t="shared" si="35"/>
        <v>18</v>
      </c>
      <c r="U211" s="146">
        <f t="shared" si="36"/>
        <v>12</v>
      </c>
      <c r="V211" s="146" t="e">
        <f t="shared" si="37"/>
        <v>#VALUE!</v>
      </c>
      <c r="W211" s="90">
        <f t="shared" si="38"/>
        <v>1</v>
      </c>
      <c r="X211" s="90">
        <f t="shared" si="39"/>
        <v>6</v>
      </c>
    </row>
    <row r="212" spans="1:24">
      <c r="A212" t="s">
        <v>937</v>
      </c>
      <c r="B212" s="99">
        <v>10</v>
      </c>
      <c r="C212" s="99">
        <v>10</v>
      </c>
      <c r="D212" s="90">
        <v>12</v>
      </c>
      <c r="E212" s="90">
        <v>6</v>
      </c>
      <c r="F212" s="90">
        <v>4</v>
      </c>
      <c r="G212" s="147">
        <v>7</v>
      </c>
      <c r="H212" s="147">
        <v>7</v>
      </c>
      <c r="I212" s="90">
        <v>10</v>
      </c>
      <c r="J212" s="90" t="s">
        <v>938</v>
      </c>
      <c r="K212" s="90">
        <v>7</v>
      </c>
      <c r="L212" s="90" t="s">
        <v>1175</v>
      </c>
      <c r="M212" t="s">
        <v>1070</v>
      </c>
      <c r="O212" s="146">
        <f t="shared" si="30"/>
        <v>18</v>
      </c>
      <c r="P212" s="146">
        <f t="shared" si="31"/>
        <v>36</v>
      </c>
      <c r="Q212" s="146">
        <f t="shared" si="32"/>
        <v>36</v>
      </c>
      <c r="R212" s="146">
        <f t="shared" si="33"/>
        <v>30</v>
      </c>
      <c r="S212" s="146">
        <f t="shared" si="34"/>
        <v>21</v>
      </c>
      <c r="T212" s="146">
        <f t="shared" si="35"/>
        <v>30</v>
      </c>
      <c r="U212" s="146" t="e">
        <f t="shared" si="36"/>
        <v>#VALUE!</v>
      </c>
      <c r="V212" s="146">
        <f t="shared" si="37"/>
        <v>12</v>
      </c>
      <c r="W212" s="90">
        <f t="shared" si="38"/>
        <v>10</v>
      </c>
      <c r="X212" s="90">
        <f t="shared" si="39"/>
        <v>7</v>
      </c>
    </row>
    <row r="213" spans="1:24">
      <c r="A213" t="s">
        <v>941</v>
      </c>
      <c r="B213" s="147">
        <v>1</v>
      </c>
      <c r="C213" s="147">
        <v>1</v>
      </c>
      <c r="D213" s="90">
        <v>4</v>
      </c>
      <c r="E213" s="90">
        <v>1</v>
      </c>
      <c r="F213" s="90" t="s">
        <v>1668</v>
      </c>
      <c r="G213" s="147">
        <v>1</v>
      </c>
      <c r="H213" s="147">
        <v>4</v>
      </c>
      <c r="I213" s="90">
        <v>2</v>
      </c>
      <c r="J213" s="90">
        <v>6</v>
      </c>
      <c r="K213" s="90">
        <v>3</v>
      </c>
      <c r="L213" s="90" t="s">
        <v>1647</v>
      </c>
      <c r="M213" t="s">
        <v>1664</v>
      </c>
      <c r="O213" s="146">
        <f t="shared" si="30"/>
        <v>3</v>
      </c>
      <c r="P213" s="146">
        <f t="shared" si="31"/>
        <v>12</v>
      </c>
      <c r="Q213" s="146">
        <f t="shared" si="32"/>
        <v>12</v>
      </c>
      <c r="R213" s="146">
        <f t="shared" si="33"/>
        <v>3</v>
      </c>
      <c r="S213" s="146">
        <f t="shared" si="34"/>
        <v>3</v>
      </c>
      <c r="T213" s="146">
        <f t="shared" si="35"/>
        <v>6</v>
      </c>
      <c r="U213" s="146">
        <f t="shared" si="36"/>
        <v>18</v>
      </c>
      <c r="V213" s="146" t="e">
        <f t="shared" si="37"/>
        <v>#VALUE!</v>
      </c>
      <c r="W213" s="90">
        <f t="shared" si="38"/>
        <v>1</v>
      </c>
      <c r="X213" s="90">
        <f t="shared" si="39"/>
        <v>4</v>
      </c>
    </row>
    <row r="214" spans="1:24">
      <c r="A214" t="s">
        <v>1413</v>
      </c>
      <c r="B214" s="147">
        <v>2</v>
      </c>
      <c r="C214" s="147">
        <v>1</v>
      </c>
      <c r="D214" s="90">
        <v>5</v>
      </c>
      <c r="E214" s="90">
        <v>2</v>
      </c>
      <c r="F214" s="90" t="s">
        <v>1668</v>
      </c>
      <c r="G214" s="147">
        <v>2</v>
      </c>
      <c r="H214" s="147">
        <v>5</v>
      </c>
      <c r="I214" s="90">
        <v>2</v>
      </c>
      <c r="J214" s="90">
        <v>6</v>
      </c>
      <c r="K214" s="90">
        <v>3</v>
      </c>
      <c r="L214" s="90" t="s">
        <v>1038</v>
      </c>
      <c r="M214" t="s">
        <v>2460</v>
      </c>
      <c r="O214" s="146">
        <f t="shared" si="30"/>
        <v>6</v>
      </c>
      <c r="P214" s="146">
        <f t="shared" si="31"/>
        <v>15</v>
      </c>
      <c r="Q214" s="146">
        <f t="shared" si="32"/>
        <v>15</v>
      </c>
      <c r="R214" s="146">
        <f t="shared" si="33"/>
        <v>6</v>
      </c>
      <c r="S214" s="146">
        <f t="shared" si="34"/>
        <v>6</v>
      </c>
      <c r="T214" s="146">
        <f t="shared" si="35"/>
        <v>6</v>
      </c>
      <c r="U214" s="146">
        <f t="shared" si="36"/>
        <v>18</v>
      </c>
      <c r="V214" s="146" t="e">
        <f t="shared" si="37"/>
        <v>#VALUE!</v>
      </c>
      <c r="W214" s="90">
        <f t="shared" si="38"/>
        <v>1</v>
      </c>
      <c r="X214" s="90">
        <f t="shared" si="39"/>
        <v>5</v>
      </c>
    </row>
    <row r="215" spans="1:24">
      <c r="A215" t="s">
        <v>2461</v>
      </c>
      <c r="B215" s="99">
        <v>1</v>
      </c>
      <c r="D215" s="90">
        <v>5</v>
      </c>
      <c r="E215" s="90">
        <v>0</v>
      </c>
      <c r="F215" s="90" t="s">
        <v>1668</v>
      </c>
      <c r="G215" s="147">
        <v>1</v>
      </c>
      <c r="H215" s="147">
        <v>5</v>
      </c>
      <c r="I215" s="90">
        <v>1</v>
      </c>
      <c r="J215" s="90">
        <v>6</v>
      </c>
      <c r="K215" s="90">
        <v>5</v>
      </c>
      <c r="L215" s="90" t="s">
        <v>1669</v>
      </c>
      <c r="M215" t="s">
        <v>2145</v>
      </c>
      <c r="O215" s="146">
        <f t="shared" si="30"/>
        <v>0</v>
      </c>
      <c r="P215" s="146">
        <f t="shared" si="31"/>
        <v>15</v>
      </c>
      <c r="Q215" s="146">
        <f t="shared" si="32"/>
        <v>15</v>
      </c>
      <c r="R215" s="146">
        <f t="shared" si="33"/>
        <v>3</v>
      </c>
      <c r="S215" s="146">
        <f t="shared" si="34"/>
        <v>3</v>
      </c>
      <c r="T215" s="146">
        <f t="shared" si="35"/>
        <v>3</v>
      </c>
      <c r="U215" s="146">
        <f t="shared" si="36"/>
        <v>18</v>
      </c>
      <c r="V215" s="146" t="e">
        <f t="shared" si="37"/>
        <v>#VALUE!</v>
      </c>
      <c r="W215" s="90">
        <f t="shared" si="38"/>
        <v>0</v>
      </c>
      <c r="X215" s="90">
        <f t="shared" si="39"/>
        <v>5</v>
      </c>
    </row>
    <row r="216" spans="1:24">
      <c r="A216" t="s">
        <v>1983</v>
      </c>
      <c r="B216" s="99">
        <v>8</v>
      </c>
      <c r="D216" s="90">
        <v>5</v>
      </c>
      <c r="E216" s="90">
        <v>6</v>
      </c>
      <c r="F216" s="90" t="s">
        <v>1668</v>
      </c>
      <c r="G216" s="147">
        <v>3</v>
      </c>
      <c r="H216" s="147">
        <v>4</v>
      </c>
      <c r="I216" s="90">
        <v>2</v>
      </c>
      <c r="J216" s="90">
        <v>6</v>
      </c>
      <c r="K216" s="90" t="s">
        <v>2054</v>
      </c>
      <c r="L216" s="90" t="s">
        <v>1889</v>
      </c>
      <c r="M216" t="s">
        <v>2499</v>
      </c>
      <c r="O216" s="146">
        <f t="shared" si="30"/>
        <v>18</v>
      </c>
      <c r="P216" s="146">
        <f t="shared" si="31"/>
        <v>15</v>
      </c>
      <c r="Q216" s="146">
        <f t="shared" si="32"/>
        <v>15</v>
      </c>
      <c r="R216" s="146">
        <f t="shared" si="33"/>
        <v>24</v>
      </c>
      <c r="S216" s="146">
        <f t="shared" si="34"/>
        <v>9</v>
      </c>
      <c r="T216" s="146">
        <f t="shared" si="35"/>
        <v>6</v>
      </c>
      <c r="U216" s="146">
        <f t="shared" si="36"/>
        <v>18</v>
      </c>
      <c r="V216" s="146" t="e">
        <f t="shared" si="37"/>
        <v>#VALUE!</v>
      </c>
      <c r="W216" s="90">
        <f t="shared" si="38"/>
        <v>0</v>
      </c>
      <c r="X216" s="90">
        <f t="shared" si="39"/>
        <v>4</v>
      </c>
    </row>
    <row r="217" spans="1:24">
      <c r="A217" t="s">
        <v>2428</v>
      </c>
      <c r="B217" s="99">
        <v>2</v>
      </c>
      <c r="D217" s="90">
        <v>6</v>
      </c>
      <c r="E217" s="90">
        <v>1</v>
      </c>
      <c r="F217" s="90" t="s">
        <v>1668</v>
      </c>
      <c r="G217" s="147">
        <v>3</v>
      </c>
      <c r="H217" s="147">
        <v>4</v>
      </c>
      <c r="I217" s="90">
        <v>3</v>
      </c>
      <c r="J217" s="90">
        <v>6</v>
      </c>
      <c r="K217" s="90">
        <v>4</v>
      </c>
      <c r="L217" s="90" t="s">
        <v>1647</v>
      </c>
      <c r="M217" t="s">
        <v>2429</v>
      </c>
      <c r="O217" s="146">
        <f t="shared" si="30"/>
        <v>3</v>
      </c>
      <c r="P217" s="146">
        <f t="shared" si="31"/>
        <v>18</v>
      </c>
      <c r="Q217" s="146">
        <f t="shared" si="32"/>
        <v>18</v>
      </c>
      <c r="R217" s="146">
        <f t="shared" si="33"/>
        <v>6</v>
      </c>
      <c r="S217" s="146">
        <f t="shared" si="34"/>
        <v>9</v>
      </c>
      <c r="T217" s="146">
        <f t="shared" si="35"/>
        <v>9</v>
      </c>
      <c r="U217" s="146">
        <f t="shared" si="36"/>
        <v>18</v>
      </c>
      <c r="V217" s="146" t="e">
        <f t="shared" si="37"/>
        <v>#VALUE!</v>
      </c>
      <c r="W217" s="90">
        <f t="shared" si="38"/>
        <v>0</v>
      </c>
      <c r="X217" s="90">
        <f t="shared" si="39"/>
        <v>4</v>
      </c>
    </row>
    <row r="218" spans="1:24">
      <c r="A218" t="s">
        <v>2430</v>
      </c>
      <c r="B218" s="99">
        <v>2</v>
      </c>
      <c r="D218" s="90">
        <v>4</v>
      </c>
      <c r="E218" s="90">
        <v>1</v>
      </c>
      <c r="F218" s="90" t="s">
        <v>1668</v>
      </c>
      <c r="G218" s="147">
        <v>3</v>
      </c>
      <c r="H218" s="147">
        <v>4</v>
      </c>
      <c r="I218" s="90">
        <v>2</v>
      </c>
      <c r="J218" s="90">
        <v>6</v>
      </c>
      <c r="K218" s="90" t="s">
        <v>2039</v>
      </c>
      <c r="L218" s="90" t="s">
        <v>2030</v>
      </c>
      <c r="M218" t="s">
        <v>2275</v>
      </c>
      <c r="O218" s="146">
        <f t="shared" si="30"/>
        <v>3</v>
      </c>
      <c r="P218" s="146">
        <f t="shared" si="31"/>
        <v>12</v>
      </c>
      <c r="Q218" s="146">
        <f t="shared" si="32"/>
        <v>12</v>
      </c>
      <c r="R218" s="146">
        <f t="shared" si="33"/>
        <v>6</v>
      </c>
      <c r="S218" s="146">
        <f t="shared" si="34"/>
        <v>9</v>
      </c>
      <c r="T218" s="146">
        <f t="shared" si="35"/>
        <v>6</v>
      </c>
      <c r="U218" s="146">
        <f t="shared" si="36"/>
        <v>18</v>
      </c>
      <c r="V218" s="146" t="e">
        <f t="shared" si="37"/>
        <v>#VALUE!</v>
      </c>
      <c r="W218" s="90">
        <f t="shared" si="38"/>
        <v>0</v>
      </c>
      <c r="X218" s="90">
        <f t="shared" si="39"/>
        <v>4</v>
      </c>
    </row>
    <row r="219" spans="1:24">
      <c r="A219" t="s">
        <v>2276</v>
      </c>
      <c r="B219" s="99">
        <v>9</v>
      </c>
      <c r="D219" s="90">
        <v>6</v>
      </c>
      <c r="E219" s="90">
        <v>8</v>
      </c>
      <c r="F219" s="90" t="s">
        <v>1668</v>
      </c>
      <c r="G219" s="147">
        <v>3</v>
      </c>
      <c r="H219" s="147">
        <v>4</v>
      </c>
      <c r="I219" s="90">
        <v>2</v>
      </c>
      <c r="J219" s="90">
        <v>6</v>
      </c>
      <c r="K219" s="90" t="s">
        <v>2039</v>
      </c>
      <c r="L219" s="90" t="s">
        <v>1273</v>
      </c>
      <c r="M219" t="s">
        <v>2233</v>
      </c>
      <c r="O219" s="146">
        <f t="shared" si="30"/>
        <v>24</v>
      </c>
      <c r="P219" s="146">
        <f t="shared" si="31"/>
        <v>18</v>
      </c>
      <c r="Q219" s="146">
        <f t="shared" si="32"/>
        <v>18</v>
      </c>
      <c r="R219" s="146">
        <f t="shared" si="33"/>
        <v>27</v>
      </c>
      <c r="S219" s="146">
        <f t="shared" si="34"/>
        <v>9</v>
      </c>
      <c r="T219" s="146">
        <f t="shared" si="35"/>
        <v>6</v>
      </c>
      <c r="U219" s="146">
        <f t="shared" si="36"/>
        <v>18</v>
      </c>
      <c r="V219" s="146" t="e">
        <f t="shared" si="37"/>
        <v>#VALUE!</v>
      </c>
      <c r="W219" s="90">
        <f t="shared" si="38"/>
        <v>0</v>
      </c>
      <c r="X219" s="90">
        <f t="shared" si="39"/>
        <v>4</v>
      </c>
    </row>
    <row r="220" spans="1:24">
      <c r="A220" t="s">
        <v>2234</v>
      </c>
      <c r="B220" s="99">
        <v>5</v>
      </c>
      <c r="D220" s="90">
        <v>8</v>
      </c>
      <c r="E220" s="90">
        <v>4</v>
      </c>
      <c r="F220" s="90">
        <v>2</v>
      </c>
      <c r="G220" s="99">
        <v>4</v>
      </c>
      <c r="H220" s="99">
        <v>4</v>
      </c>
      <c r="I220" s="90">
        <v>5</v>
      </c>
      <c r="J220" s="90" t="s">
        <v>1404</v>
      </c>
      <c r="K220" s="90">
        <v>6</v>
      </c>
      <c r="L220" s="90" t="s">
        <v>2084</v>
      </c>
      <c r="M220" t="s">
        <v>958</v>
      </c>
      <c r="O220" s="146">
        <f t="shared" si="30"/>
        <v>12</v>
      </c>
      <c r="P220" s="146">
        <f t="shared" si="31"/>
        <v>24</v>
      </c>
      <c r="Q220" s="146">
        <f t="shared" si="32"/>
        <v>24</v>
      </c>
      <c r="R220" s="146">
        <f t="shared" si="33"/>
        <v>15</v>
      </c>
      <c r="S220" s="146">
        <f t="shared" si="34"/>
        <v>12</v>
      </c>
      <c r="T220" s="146">
        <f t="shared" si="35"/>
        <v>15</v>
      </c>
      <c r="U220" s="146" t="e">
        <f t="shared" si="36"/>
        <v>#VALUE!</v>
      </c>
      <c r="V220" s="146">
        <f t="shared" si="37"/>
        <v>6</v>
      </c>
      <c r="W220" s="90">
        <f t="shared" si="38"/>
        <v>0</v>
      </c>
      <c r="X220" s="90">
        <f t="shared" si="39"/>
        <v>4</v>
      </c>
    </row>
    <row r="221" spans="1:24">
      <c r="A221" t="s">
        <v>928</v>
      </c>
      <c r="B221" s="99">
        <v>4</v>
      </c>
      <c r="D221" s="90">
        <v>5</v>
      </c>
      <c r="E221" s="90">
        <v>3</v>
      </c>
      <c r="F221" s="90" t="s">
        <v>1668</v>
      </c>
      <c r="G221" s="147">
        <v>2</v>
      </c>
      <c r="H221" s="147">
        <v>4</v>
      </c>
      <c r="I221" s="90">
        <v>3</v>
      </c>
      <c r="J221" s="90">
        <v>6</v>
      </c>
      <c r="K221" s="90" t="s">
        <v>1654</v>
      </c>
      <c r="L221" s="90" t="s">
        <v>1422</v>
      </c>
      <c r="M221" t="s">
        <v>719</v>
      </c>
      <c r="O221" s="146">
        <f t="shared" si="30"/>
        <v>9</v>
      </c>
      <c r="P221" s="146">
        <f t="shared" si="31"/>
        <v>15</v>
      </c>
      <c r="Q221" s="146">
        <f t="shared" si="32"/>
        <v>15</v>
      </c>
      <c r="R221" s="146">
        <f t="shared" si="33"/>
        <v>12</v>
      </c>
      <c r="S221" s="146">
        <f t="shared" si="34"/>
        <v>6</v>
      </c>
      <c r="T221" s="146">
        <f t="shared" si="35"/>
        <v>9</v>
      </c>
      <c r="U221" s="146">
        <f t="shared" si="36"/>
        <v>18</v>
      </c>
      <c r="V221" s="146" t="e">
        <f t="shared" si="37"/>
        <v>#VALUE!</v>
      </c>
      <c r="W221" s="90">
        <f t="shared" si="38"/>
        <v>0</v>
      </c>
      <c r="X221" s="90">
        <f t="shared" si="39"/>
        <v>4</v>
      </c>
    </row>
    <row r="222" spans="1:24">
      <c r="A222" t="s">
        <v>720</v>
      </c>
      <c r="B222" s="99">
        <v>9</v>
      </c>
      <c r="D222" s="90">
        <v>3</v>
      </c>
      <c r="E222" s="90">
        <v>7</v>
      </c>
      <c r="F222" s="90" t="s">
        <v>1668</v>
      </c>
      <c r="G222" s="147">
        <v>1</v>
      </c>
      <c r="H222" s="147">
        <v>3</v>
      </c>
      <c r="I222" s="90">
        <v>3</v>
      </c>
      <c r="J222" s="90">
        <v>6</v>
      </c>
      <c r="K222" s="90">
        <v>3</v>
      </c>
      <c r="L222" s="90" t="s">
        <v>1623</v>
      </c>
      <c r="M222" t="s">
        <v>722</v>
      </c>
      <c r="O222" s="146">
        <f t="shared" si="30"/>
        <v>21</v>
      </c>
      <c r="P222" s="146">
        <f t="shared" si="31"/>
        <v>9</v>
      </c>
      <c r="Q222" s="146">
        <f t="shared" si="32"/>
        <v>9</v>
      </c>
      <c r="R222" s="146">
        <f t="shared" si="33"/>
        <v>27</v>
      </c>
      <c r="S222" s="146">
        <f t="shared" si="34"/>
        <v>3</v>
      </c>
      <c r="T222" s="146">
        <f t="shared" si="35"/>
        <v>9</v>
      </c>
      <c r="U222" s="146">
        <f t="shared" si="36"/>
        <v>18</v>
      </c>
      <c r="V222" s="146" t="e">
        <f t="shared" si="37"/>
        <v>#VALUE!</v>
      </c>
      <c r="W222" s="90">
        <f t="shared" si="38"/>
        <v>0</v>
      </c>
      <c r="X222" s="90">
        <f t="shared" si="39"/>
        <v>3</v>
      </c>
    </row>
    <row r="223" spans="1:24">
      <c r="A223" t="s">
        <v>723</v>
      </c>
      <c r="B223" s="147">
        <v>5</v>
      </c>
      <c r="C223" s="147">
        <v>1</v>
      </c>
      <c r="D223" s="90">
        <v>3</v>
      </c>
      <c r="E223" s="90">
        <v>5</v>
      </c>
      <c r="F223" s="90" t="s">
        <v>1668</v>
      </c>
      <c r="G223" s="147">
        <v>1</v>
      </c>
      <c r="H223" s="147">
        <v>3</v>
      </c>
      <c r="I223" s="90">
        <v>4</v>
      </c>
      <c r="J223" s="90">
        <v>6</v>
      </c>
      <c r="K223" s="90" t="s">
        <v>1559</v>
      </c>
      <c r="L223" s="90" t="s">
        <v>1038</v>
      </c>
      <c r="M223" t="s">
        <v>1093</v>
      </c>
      <c r="O223" s="146">
        <f t="shared" si="30"/>
        <v>15</v>
      </c>
      <c r="P223" s="146">
        <f t="shared" si="31"/>
        <v>9</v>
      </c>
      <c r="Q223" s="146">
        <f t="shared" si="32"/>
        <v>9</v>
      </c>
      <c r="R223" s="146">
        <f t="shared" si="33"/>
        <v>15</v>
      </c>
      <c r="S223" s="146">
        <f t="shared" si="34"/>
        <v>3</v>
      </c>
      <c r="T223" s="146">
        <f t="shared" si="35"/>
        <v>12</v>
      </c>
      <c r="U223" s="146">
        <f t="shared" si="36"/>
        <v>18</v>
      </c>
      <c r="V223" s="146" t="e">
        <f t="shared" si="37"/>
        <v>#VALUE!</v>
      </c>
      <c r="W223" s="90">
        <f t="shared" si="38"/>
        <v>1</v>
      </c>
      <c r="X223" s="90">
        <f t="shared" si="39"/>
        <v>3</v>
      </c>
    </row>
    <row r="224" spans="1:24">
      <c r="A224" t="s">
        <v>1088</v>
      </c>
      <c r="B224" s="99">
        <v>3</v>
      </c>
      <c r="D224" s="90">
        <v>5</v>
      </c>
      <c r="E224" s="90">
        <v>3</v>
      </c>
      <c r="F224" s="90">
        <v>5</v>
      </c>
      <c r="G224" s="99">
        <v>3</v>
      </c>
      <c r="H224" s="99">
        <v>3</v>
      </c>
      <c r="I224" s="90">
        <v>3</v>
      </c>
      <c r="J224" s="90">
        <v>-8</v>
      </c>
      <c r="K224" s="90" t="s">
        <v>2039</v>
      </c>
      <c r="L224" s="90" t="s">
        <v>1359</v>
      </c>
      <c r="M224" t="s">
        <v>1809</v>
      </c>
      <c r="O224" s="146">
        <f t="shared" si="30"/>
        <v>9</v>
      </c>
      <c r="P224" s="146">
        <f t="shared" si="31"/>
        <v>15</v>
      </c>
      <c r="Q224" s="146">
        <f t="shared" si="32"/>
        <v>15</v>
      </c>
      <c r="R224" s="146">
        <f t="shared" si="33"/>
        <v>9</v>
      </c>
      <c r="S224" s="146">
        <f t="shared" si="34"/>
        <v>9</v>
      </c>
      <c r="T224" s="146">
        <f t="shared" si="35"/>
        <v>9</v>
      </c>
      <c r="U224" s="146">
        <f t="shared" si="36"/>
        <v>-24</v>
      </c>
      <c r="V224" s="146">
        <f t="shared" si="37"/>
        <v>15</v>
      </c>
      <c r="W224" s="90">
        <f t="shared" si="38"/>
        <v>0</v>
      </c>
      <c r="X224" s="90">
        <f t="shared" si="39"/>
        <v>3</v>
      </c>
    </row>
    <row r="225" spans="1:24">
      <c r="A225" t="s">
        <v>1089</v>
      </c>
      <c r="B225" s="99">
        <v>4</v>
      </c>
      <c r="D225" s="90">
        <v>5</v>
      </c>
      <c r="E225" s="90">
        <v>3</v>
      </c>
      <c r="F225" s="90">
        <v>5</v>
      </c>
      <c r="G225" s="99">
        <v>3</v>
      </c>
      <c r="H225" s="99">
        <v>3</v>
      </c>
      <c r="I225" s="90">
        <v>3</v>
      </c>
      <c r="J225" s="90">
        <v>-8</v>
      </c>
      <c r="K225" s="90" t="s">
        <v>2039</v>
      </c>
      <c r="L225" s="90" t="s">
        <v>2030</v>
      </c>
      <c r="M225" t="s">
        <v>1809</v>
      </c>
      <c r="O225" s="146">
        <f t="shared" si="30"/>
        <v>9</v>
      </c>
      <c r="P225" s="146">
        <f t="shared" si="31"/>
        <v>15</v>
      </c>
      <c r="Q225" s="146">
        <f t="shared" si="32"/>
        <v>15</v>
      </c>
      <c r="R225" s="146">
        <f t="shared" si="33"/>
        <v>12</v>
      </c>
      <c r="S225" s="146">
        <f t="shared" si="34"/>
        <v>9</v>
      </c>
      <c r="T225" s="146">
        <f t="shared" si="35"/>
        <v>9</v>
      </c>
      <c r="U225" s="146">
        <f t="shared" si="36"/>
        <v>-24</v>
      </c>
      <c r="V225" s="146">
        <f t="shared" si="37"/>
        <v>15</v>
      </c>
      <c r="W225" s="90">
        <f t="shared" si="38"/>
        <v>0</v>
      </c>
      <c r="X225" s="90">
        <f t="shared" si="39"/>
        <v>3</v>
      </c>
    </row>
    <row r="226" spans="1:24">
      <c r="A226" t="s">
        <v>1090</v>
      </c>
      <c r="B226" s="99">
        <v>3</v>
      </c>
      <c r="D226" s="90">
        <v>5</v>
      </c>
      <c r="E226" s="90">
        <v>3</v>
      </c>
      <c r="F226" s="90">
        <v>5</v>
      </c>
      <c r="G226" s="99">
        <v>3</v>
      </c>
      <c r="H226" s="99">
        <v>3</v>
      </c>
      <c r="I226" s="90">
        <v>3</v>
      </c>
      <c r="J226" s="90">
        <v>-8</v>
      </c>
      <c r="K226" s="90" t="s">
        <v>2039</v>
      </c>
      <c r="L226" s="90" t="s">
        <v>1359</v>
      </c>
      <c r="M226" t="s">
        <v>1809</v>
      </c>
      <c r="O226" s="146">
        <f t="shared" si="30"/>
        <v>9</v>
      </c>
      <c r="P226" s="146">
        <f t="shared" si="31"/>
        <v>15</v>
      </c>
      <c r="Q226" s="146">
        <f t="shared" si="32"/>
        <v>15</v>
      </c>
      <c r="R226" s="146">
        <f t="shared" si="33"/>
        <v>9</v>
      </c>
      <c r="S226" s="146">
        <f t="shared" si="34"/>
        <v>9</v>
      </c>
      <c r="T226" s="146">
        <f t="shared" si="35"/>
        <v>9</v>
      </c>
      <c r="U226" s="146">
        <f t="shared" si="36"/>
        <v>-24</v>
      </c>
      <c r="V226" s="146">
        <f t="shared" si="37"/>
        <v>15</v>
      </c>
      <c r="W226" s="90">
        <f t="shared" si="38"/>
        <v>0</v>
      </c>
      <c r="X226" s="90">
        <f t="shared" si="39"/>
        <v>3</v>
      </c>
    </row>
    <row r="227" spans="1:24">
      <c r="A227" t="s">
        <v>861</v>
      </c>
      <c r="B227" s="99">
        <v>3</v>
      </c>
      <c r="D227" s="90">
        <v>6</v>
      </c>
      <c r="E227" s="90">
        <v>2</v>
      </c>
      <c r="F227" s="90">
        <v>5</v>
      </c>
      <c r="G227" s="99">
        <v>3</v>
      </c>
      <c r="H227" s="99">
        <v>3</v>
      </c>
      <c r="I227" s="90">
        <v>3</v>
      </c>
      <c r="J227" s="90">
        <v>-8</v>
      </c>
      <c r="K227" s="90" t="s">
        <v>2039</v>
      </c>
      <c r="L227" s="90" t="s">
        <v>2030</v>
      </c>
      <c r="M227" t="s">
        <v>1809</v>
      </c>
      <c r="O227" s="146">
        <f t="shared" si="30"/>
        <v>6</v>
      </c>
      <c r="P227" s="146">
        <f t="shared" si="31"/>
        <v>18</v>
      </c>
      <c r="Q227" s="146">
        <f t="shared" si="32"/>
        <v>18</v>
      </c>
      <c r="R227" s="146">
        <f t="shared" si="33"/>
        <v>9</v>
      </c>
      <c r="S227" s="146">
        <f t="shared" si="34"/>
        <v>9</v>
      </c>
      <c r="T227" s="146">
        <f t="shared" si="35"/>
        <v>9</v>
      </c>
      <c r="U227" s="146">
        <f t="shared" si="36"/>
        <v>-24</v>
      </c>
      <c r="V227" s="146">
        <f t="shared" si="37"/>
        <v>15</v>
      </c>
      <c r="W227" s="90">
        <f t="shared" si="38"/>
        <v>0</v>
      </c>
      <c r="X227" s="90">
        <f t="shared" si="39"/>
        <v>3</v>
      </c>
    </row>
    <row r="228" spans="1:24">
      <c r="A228" t="s">
        <v>1104</v>
      </c>
      <c r="B228" s="99">
        <v>5</v>
      </c>
      <c r="D228" s="90">
        <v>5</v>
      </c>
      <c r="E228" s="90">
        <v>5</v>
      </c>
      <c r="F228" s="90">
        <v>5</v>
      </c>
      <c r="G228" s="99">
        <v>3</v>
      </c>
      <c r="H228" s="99">
        <v>3</v>
      </c>
      <c r="I228" s="90">
        <v>3</v>
      </c>
      <c r="J228" s="90">
        <v>-8</v>
      </c>
      <c r="K228" s="90" t="s">
        <v>2039</v>
      </c>
      <c r="L228" s="90" t="s">
        <v>1960</v>
      </c>
      <c r="M228" t="s">
        <v>1809</v>
      </c>
      <c r="O228" s="146">
        <f t="shared" si="30"/>
        <v>15</v>
      </c>
      <c r="P228" s="146">
        <f t="shared" si="31"/>
        <v>15</v>
      </c>
      <c r="Q228" s="146">
        <f t="shared" si="32"/>
        <v>15</v>
      </c>
      <c r="R228" s="146">
        <f t="shared" si="33"/>
        <v>15</v>
      </c>
      <c r="S228" s="146">
        <f t="shared" si="34"/>
        <v>9</v>
      </c>
      <c r="T228" s="146">
        <f t="shared" si="35"/>
        <v>9</v>
      </c>
      <c r="U228" s="146">
        <f t="shared" si="36"/>
        <v>-24</v>
      </c>
      <c r="V228" s="146">
        <f t="shared" si="37"/>
        <v>15</v>
      </c>
      <c r="W228" s="90">
        <f t="shared" si="38"/>
        <v>0</v>
      </c>
      <c r="X228" s="90">
        <f t="shared" si="39"/>
        <v>3</v>
      </c>
    </row>
    <row r="229" spans="1:24">
      <c r="A229" t="s">
        <v>2141</v>
      </c>
      <c r="B229" s="99">
        <v>6</v>
      </c>
      <c r="D229" s="90">
        <v>4</v>
      </c>
      <c r="E229" s="90">
        <v>8</v>
      </c>
      <c r="F229" s="90" t="s">
        <v>1668</v>
      </c>
      <c r="G229" s="147">
        <v>2</v>
      </c>
      <c r="H229" s="147">
        <v>4</v>
      </c>
      <c r="I229" s="90">
        <v>2</v>
      </c>
      <c r="J229" s="90">
        <v>6</v>
      </c>
      <c r="K229" s="90" t="s">
        <v>2039</v>
      </c>
      <c r="L229" s="90" t="s">
        <v>1331</v>
      </c>
      <c r="M229" t="s">
        <v>1101</v>
      </c>
      <c r="O229" s="146">
        <f t="shared" si="30"/>
        <v>24</v>
      </c>
      <c r="P229" s="146">
        <f t="shared" si="31"/>
        <v>12</v>
      </c>
      <c r="Q229" s="146">
        <f t="shared" si="32"/>
        <v>12</v>
      </c>
      <c r="R229" s="146">
        <f t="shared" si="33"/>
        <v>18</v>
      </c>
      <c r="S229" s="146">
        <f t="shared" si="34"/>
        <v>6</v>
      </c>
      <c r="T229" s="146">
        <f t="shared" si="35"/>
        <v>6</v>
      </c>
      <c r="U229" s="146">
        <f t="shared" si="36"/>
        <v>18</v>
      </c>
      <c r="V229" s="146" t="e">
        <f t="shared" si="37"/>
        <v>#VALUE!</v>
      </c>
      <c r="W229" s="90">
        <f t="shared" si="38"/>
        <v>0</v>
      </c>
      <c r="X229" s="90">
        <f t="shared" si="39"/>
        <v>4</v>
      </c>
    </row>
    <row r="230" spans="1:24">
      <c r="A230" t="s">
        <v>1356</v>
      </c>
      <c r="B230" s="99">
        <v>2</v>
      </c>
      <c r="D230" s="90">
        <v>5</v>
      </c>
      <c r="E230" s="90">
        <v>2</v>
      </c>
      <c r="F230" s="90" t="s">
        <v>1668</v>
      </c>
      <c r="G230" s="147">
        <v>2</v>
      </c>
      <c r="H230" s="147">
        <v>4</v>
      </c>
      <c r="I230" s="90">
        <v>2</v>
      </c>
      <c r="J230" s="90">
        <v>-6</v>
      </c>
      <c r="K230" s="90">
        <v>5</v>
      </c>
      <c r="L230" s="90" t="s">
        <v>1858</v>
      </c>
      <c r="M230" t="s">
        <v>712</v>
      </c>
      <c r="O230" s="146">
        <f t="shared" si="30"/>
        <v>6</v>
      </c>
      <c r="P230" s="146">
        <f t="shared" si="31"/>
        <v>15</v>
      </c>
      <c r="Q230" s="146">
        <f t="shared" si="32"/>
        <v>15</v>
      </c>
      <c r="R230" s="146">
        <f t="shared" si="33"/>
        <v>6</v>
      </c>
      <c r="S230" s="146">
        <f t="shared" si="34"/>
        <v>6</v>
      </c>
      <c r="T230" s="146">
        <f t="shared" si="35"/>
        <v>6</v>
      </c>
      <c r="U230" s="146">
        <f t="shared" si="36"/>
        <v>-18</v>
      </c>
      <c r="V230" s="146" t="e">
        <f t="shared" si="37"/>
        <v>#VALUE!</v>
      </c>
      <c r="W230" s="90">
        <f t="shared" si="38"/>
        <v>0</v>
      </c>
      <c r="X230" s="90">
        <f t="shared" si="39"/>
        <v>4</v>
      </c>
    </row>
    <row r="231" spans="1:24">
      <c r="A231" t="s">
        <v>713</v>
      </c>
      <c r="B231" s="99">
        <v>8</v>
      </c>
      <c r="D231" s="90">
        <v>3</v>
      </c>
      <c r="E231" s="90">
        <v>7</v>
      </c>
      <c r="F231" s="90">
        <v>3</v>
      </c>
      <c r="G231" s="99">
        <v>3</v>
      </c>
      <c r="H231" s="99">
        <v>3</v>
      </c>
      <c r="I231" s="90">
        <v>2</v>
      </c>
      <c r="J231" s="90">
        <v>-6</v>
      </c>
      <c r="K231" s="90">
        <v>4</v>
      </c>
      <c r="L231" s="90" t="s">
        <v>1746</v>
      </c>
      <c r="M231" t="s">
        <v>1905</v>
      </c>
      <c r="O231" s="146">
        <f t="shared" si="30"/>
        <v>21</v>
      </c>
      <c r="P231" s="146">
        <f t="shared" si="31"/>
        <v>9</v>
      </c>
      <c r="Q231" s="146">
        <f t="shared" si="32"/>
        <v>9</v>
      </c>
      <c r="R231" s="146">
        <f t="shared" si="33"/>
        <v>24</v>
      </c>
      <c r="S231" s="146">
        <f t="shared" si="34"/>
        <v>9</v>
      </c>
      <c r="T231" s="146">
        <f t="shared" si="35"/>
        <v>6</v>
      </c>
      <c r="U231" s="146">
        <f t="shared" si="36"/>
        <v>-18</v>
      </c>
      <c r="V231" s="146">
        <f t="shared" si="37"/>
        <v>9</v>
      </c>
      <c r="W231" s="90">
        <f t="shared" si="38"/>
        <v>0</v>
      </c>
      <c r="X231" s="90">
        <f t="shared" si="39"/>
        <v>3</v>
      </c>
    </row>
    <row r="232" spans="1:24">
      <c r="A232" t="s">
        <v>714</v>
      </c>
      <c r="B232" s="99">
        <v>7</v>
      </c>
      <c r="D232" s="90">
        <v>5</v>
      </c>
      <c r="E232" s="90">
        <v>6</v>
      </c>
      <c r="F232" s="90" t="s">
        <v>1668</v>
      </c>
      <c r="G232" s="99">
        <v>4</v>
      </c>
      <c r="H232" s="99">
        <v>4</v>
      </c>
      <c r="I232" s="90">
        <v>4</v>
      </c>
      <c r="J232" s="90">
        <v>-6</v>
      </c>
      <c r="K232" s="90" t="s">
        <v>1275</v>
      </c>
      <c r="L232" s="90" t="s">
        <v>1889</v>
      </c>
      <c r="M232" t="s">
        <v>856</v>
      </c>
      <c r="O232" s="146">
        <f t="shared" si="30"/>
        <v>18</v>
      </c>
      <c r="P232" s="146">
        <f t="shared" si="31"/>
        <v>15</v>
      </c>
      <c r="Q232" s="146">
        <f t="shared" si="32"/>
        <v>15</v>
      </c>
      <c r="R232" s="146">
        <f t="shared" si="33"/>
        <v>21</v>
      </c>
      <c r="S232" s="146">
        <f t="shared" si="34"/>
        <v>12</v>
      </c>
      <c r="T232" s="146">
        <f t="shared" si="35"/>
        <v>12</v>
      </c>
      <c r="U232" s="146">
        <f t="shared" si="36"/>
        <v>-18</v>
      </c>
      <c r="V232" s="146" t="e">
        <f t="shared" si="37"/>
        <v>#VALUE!</v>
      </c>
      <c r="W232" s="90">
        <f t="shared" si="38"/>
        <v>0</v>
      </c>
      <c r="X232" s="90">
        <f t="shared" si="39"/>
        <v>4</v>
      </c>
    </row>
    <row r="233" spans="1:24">
      <c r="A233" t="s">
        <v>857</v>
      </c>
      <c r="B233" s="99">
        <v>1</v>
      </c>
      <c r="D233" s="90">
        <v>2</v>
      </c>
      <c r="E233" s="90">
        <v>1</v>
      </c>
      <c r="F233" s="90" t="s">
        <v>1668</v>
      </c>
      <c r="G233" s="147">
        <v>3</v>
      </c>
      <c r="H233" s="147">
        <v>4</v>
      </c>
      <c r="I233" s="90">
        <v>2</v>
      </c>
      <c r="J233" s="90">
        <v>6</v>
      </c>
      <c r="K233" s="90">
        <v>5</v>
      </c>
      <c r="L233" s="90" t="s">
        <v>858</v>
      </c>
      <c r="M233" t="s">
        <v>968</v>
      </c>
      <c r="O233" s="146">
        <f t="shared" si="30"/>
        <v>3</v>
      </c>
      <c r="P233" s="146">
        <f t="shared" si="31"/>
        <v>6</v>
      </c>
      <c r="Q233" s="146">
        <f t="shared" si="32"/>
        <v>6</v>
      </c>
      <c r="R233" s="146">
        <f t="shared" si="33"/>
        <v>3</v>
      </c>
      <c r="S233" s="146">
        <f t="shared" si="34"/>
        <v>9</v>
      </c>
      <c r="T233" s="146">
        <f t="shared" si="35"/>
        <v>6</v>
      </c>
      <c r="U233" s="146">
        <f t="shared" si="36"/>
        <v>18</v>
      </c>
      <c r="V233" s="146" t="e">
        <f t="shared" si="37"/>
        <v>#VALUE!</v>
      </c>
      <c r="W233" s="90">
        <f t="shared" si="38"/>
        <v>0</v>
      </c>
      <c r="X233" s="90">
        <f t="shared" si="39"/>
        <v>4</v>
      </c>
    </row>
    <row r="234" spans="1:24">
      <c r="A234" t="s">
        <v>988</v>
      </c>
      <c r="B234" s="99">
        <v>5</v>
      </c>
      <c r="D234" s="90">
        <v>3</v>
      </c>
      <c r="E234" s="90">
        <v>4</v>
      </c>
      <c r="F234" s="90">
        <v>5</v>
      </c>
      <c r="G234" s="99">
        <v>4</v>
      </c>
      <c r="H234" s="99">
        <v>4</v>
      </c>
      <c r="I234" s="90">
        <v>2</v>
      </c>
      <c r="J234" s="90">
        <v>6</v>
      </c>
      <c r="K234" s="90">
        <v>4</v>
      </c>
      <c r="L234" s="90" t="s">
        <v>1086</v>
      </c>
      <c r="M234" t="s">
        <v>995</v>
      </c>
      <c r="O234" s="146">
        <f t="shared" si="30"/>
        <v>12</v>
      </c>
      <c r="P234" s="146">
        <f t="shared" si="31"/>
        <v>9</v>
      </c>
      <c r="Q234" s="146">
        <f t="shared" si="32"/>
        <v>9</v>
      </c>
      <c r="R234" s="146">
        <f t="shared" si="33"/>
        <v>15</v>
      </c>
      <c r="S234" s="146">
        <f t="shared" si="34"/>
        <v>12</v>
      </c>
      <c r="T234" s="146">
        <f t="shared" si="35"/>
        <v>6</v>
      </c>
      <c r="U234" s="146">
        <f t="shared" si="36"/>
        <v>18</v>
      </c>
      <c r="V234" s="146">
        <f t="shared" si="37"/>
        <v>15</v>
      </c>
      <c r="W234" s="90">
        <f t="shared" si="38"/>
        <v>0</v>
      </c>
      <c r="X234" s="90">
        <f t="shared" si="39"/>
        <v>4</v>
      </c>
    </row>
    <row r="235" spans="1:24">
      <c r="A235" t="s">
        <v>996</v>
      </c>
      <c r="B235" s="99">
        <v>1</v>
      </c>
      <c r="D235" s="90">
        <v>1</v>
      </c>
      <c r="E235" s="90">
        <v>1</v>
      </c>
      <c r="F235" s="90">
        <v>2</v>
      </c>
      <c r="G235" s="99">
        <v>2</v>
      </c>
      <c r="H235" s="99">
        <v>2</v>
      </c>
      <c r="I235" s="90">
        <v>5</v>
      </c>
      <c r="J235" s="90" t="s">
        <v>1404</v>
      </c>
      <c r="K235" s="90">
        <v>5</v>
      </c>
      <c r="L235" s="90" t="s">
        <v>1175</v>
      </c>
      <c r="M235" t="s">
        <v>701</v>
      </c>
      <c r="O235" s="146">
        <f t="shared" si="30"/>
        <v>3</v>
      </c>
      <c r="P235" s="146">
        <f t="shared" si="31"/>
        <v>3</v>
      </c>
      <c r="Q235" s="146">
        <f t="shared" si="32"/>
        <v>3</v>
      </c>
      <c r="R235" s="146">
        <f t="shared" si="33"/>
        <v>3</v>
      </c>
      <c r="S235" s="146">
        <f t="shared" si="34"/>
        <v>6</v>
      </c>
      <c r="T235" s="146">
        <f t="shared" si="35"/>
        <v>15</v>
      </c>
      <c r="U235" s="146" t="e">
        <f t="shared" si="36"/>
        <v>#VALUE!</v>
      </c>
      <c r="V235" s="146">
        <f t="shared" si="37"/>
        <v>6</v>
      </c>
      <c r="W235" s="90">
        <f t="shared" si="38"/>
        <v>0</v>
      </c>
      <c r="X235" s="90">
        <f t="shared" si="39"/>
        <v>2</v>
      </c>
    </row>
  </sheetData>
  <sheetCalcPr fullCalcOnLoad="1"/>
  <phoneticPr fontId="0"/>
  <pageMargins left="0.75" right="0.75" top="1" bottom="1" header="0.5" footer="0.5"/>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L66"/>
  <sheetViews>
    <sheetView workbookViewId="0"/>
  </sheetViews>
  <sheetFormatPr baseColWidth="10" defaultColWidth="11" defaultRowHeight="13"/>
  <cols>
    <col min="1" max="1" width="19" customWidth="1"/>
    <col min="7" max="7" width="1.83203125" customWidth="1"/>
    <col min="11" max="11" width="11" style="276"/>
    <col min="12" max="12" width="9.6640625" style="276" customWidth="1"/>
    <col min="13" max="13" width="10.83203125" style="276" customWidth="1"/>
    <col min="14" max="14" width="22.5" style="276" customWidth="1"/>
    <col min="15" max="15" width="2.83203125" customWidth="1"/>
    <col min="16" max="16" width="8.83203125" customWidth="1"/>
    <col min="17" max="17" width="2.83203125" customWidth="1"/>
    <col min="37" max="37" width="21.33203125" customWidth="1"/>
    <col min="38" max="38" width="11" style="276"/>
  </cols>
  <sheetData>
    <row r="1" spans="1:38">
      <c r="A1" s="19" t="s">
        <v>1212</v>
      </c>
      <c r="B1" s="37" t="s">
        <v>1325</v>
      </c>
      <c r="C1" s="37"/>
      <c r="D1" s="49" t="s">
        <v>1026</v>
      </c>
      <c r="E1" s="211" t="e">
        <f ca="1">AL18</f>
        <v>#REF!</v>
      </c>
      <c r="F1" s="37"/>
      <c r="G1" s="38" t="s">
        <v>1768</v>
      </c>
      <c r="H1" s="133" t="str">
        <f ca="1">IF(F19="","",IF(T2=0,S1,IF(T2&gt;0,(R1&amp;S2),IF(T2&lt;0,(S1&amp;S2)))))</f>
        <v>D10+5</v>
      </c>
      <c r="I1" s="37"/>
      <c r="J1" s="38" t="s">
        <v>1465</v>
      </c>
      <c r="K1" s="149">
        <f>IF(B1&gt;0,LOOKUP(B1,Critters!A2:A159,Critters!O2:O159),"")</f>
        <v>-8</v>
      </c>
      <c r="L1" s="150"/>
      <c r="M1" s="151" t="s">
        <v>903</v>
      </c>
      <c r="N1" s="152">
        <f>11-K1</f>
        <v>19</v>
      </c>
      <c r="R1" s="82" t="s">
        <v>1353</v>
      </c>
      <c r="S1" s="83" t="s">
        <v>1207</v>
      </c>
      <c r="T1" s="6" t="s">
        <v>1768</v>
      </c>
      <c r="U1" s="5"/>
      <c r="V1" s="6" t="s">
        <v>1937</v>
      </c>
      <c r="W1" s="239">
        <f ca="1">(E9+E13/2)</f>
        <v>11.5</v>
      </c>
      <c r="X1" s="7">
        <v>1.5</v>
      </c>
      <c r="Y1" s="239">
        <f>LOOKUP(K1,AB1:AB12,AC1:AC12)*K1</f>
        <v>-32</v>
      </c>
      <c r="Z1" s="276">
        <f ca="1">IF(W1*X1+Y1&lt;1,1,(W1*X1)+Y1)</f>
        <v>1</v>
      </c>
      <c r="AB1">
        <v>-12</v>
      </c>
      <c r="AC1">
        <v>4</v>
      </c>
      <c r="AI1" s="248"/>
      <c r="AK1" s="248" t="s">
        <v>2189</v>
      </c>
      <c r="AL1" s="231">
        <f>SUM(V24:V29)</f>
        <v>2</v>
      </c>
    </row>
    <row r="2" spans="1:38">
      <c r="A2" s="50" t="s">
        <v>2103</v>
      </c>
      <c r="B2" s="11" t="str">
        <f>IF(B1&gt;0,LOOKUP(B1,Critters!A2:A159,Critters!C2:C159),"")</f>
        <v>Carnivore</v>
      </c>
      <c r="C2" s="2"/>
      <c r="D2" s="15" t="s">
        <v>1620</v>
      </c>
      <c r="E2" s="12" t="str">
        <f>IF(B1&gt;0,LOOKUP(B1,Critters!A2:A159,Critters!D2:D159),"")</f>
        <v>Ferocious</v>
      </c>
      <c r="F2" s="2"/>
      <c r="G2" s="51"/>
      <c r="H2" s="9"/>
      <c r="I2" s="2"/>
      <c r="J2" s="51"/>
      <c r="K2" s="47"/>
      <c r="L2" s="118"/>
      <c r="M2" s="153"/>
      <c r="N2" s="154"/>
      <c r="R2" s="84"/>
      <c r="S2" s="264">
        <f ca="1">T2</f>
        <v>5</v>
      </c>
      <c r="T2" s="276">
        <f ca="1">F19-F24-F25</f>
        <v>5</v>
      </c>
      <c r="V2" t="s">
        <v>2049</v>
      </c>
      <c r="W2" s="239">
        <f ca="1">(E9+E13/2)</f>
        <v>11.5</v>
      </c>
      <c r="X2" s="7">
        <v>1.5</v>
      </c>
      <c r="Y2" s="276">
        <f>K1</f>
        <v>-8</v>
      </c>
      <c r="Z2" s="276">
        <f ca="1">W2*(X2+Y2)</f>
        <v>-74.75</v>
      </c>
      <c r="AB2">
        <v>-11</v>
      </c>
      <c r="AC2">
        <v>4</v>
      </c>
      <c r="AI2" s="248"/>
      <c r="AK2" s="248" t="s">
        <v>532</v>
      </c>
      <c r="AL2" s="250">
        <f ca="1">T2</f>
        <v>5</v>
      </c>
    </row>
    <row r="3" spans="1:38">
      <c r="A3" s="50" t="s">
        <v>1861</v>
      </c>
      <c r="B3" s="12">
        <f>IF(B1&gt;0,LOOKUP(B1,Critters!A2:A159,Critters!B2:B159),"")</f>
        <v>1</v>
      </c>
      <c r="C3" s="2"/>
      <c r="D3" s="15" t="s">
        <v>1651</v>
      </c>
      <c r="E3" s="47">
        <f ca="1">RANDBETWEEN(1,20)</f>
        <v>4</v>
      </c>
      <c r="F3" s="2"/>
      <c r="G3" s="51"/>
      <c r="H3" s="238" t="s">
        <v>1111</v>
      </c>
      <c r="I3" s="2" t="s">
        <v>1108</v>
      </c>
      <c r="J3" s="2" t="s">
        <v>1875</v>
      </c>
      <c r="K3" s="2" t="s">
        <v>2288</v>
      </c>
      <c r="L3" s="2" t="s">
        <v>2296</v>
      </c>
      <c r="M3" s="2" t="s">
        <v>2297</v>
      </c>
      <c r="N3" s="154"/>
      <c r="R3" t="s">
        <v>1249</v>
      </c>
      <c r="T3" s="276"/>
      <c r="V3" t="s">
        <v>1936</v>
      </c>
      <c r="W3" s="239">
        <f ca="1">(E9+E13/2)</f>
        <v>11.5</v>
      </c>
      <c r="X3" s="7">
        <v>1.5</v>
      </c>
      <c r="Z3" s="276">
        <f ca="1">W3*X3</f>
        <v>17.25</v>
      </c>
      <c r="AB3">
        <v>-10</v>
      </c>
      <c r="AC3">
        <v>4</v>
      </c>
      <c r="AI3" s="248"/>
      <c r="AK3" s="248" t="s">
        <v>1457</v>
      </c>
      <c r="AL3" s="250">
        <f ca="1">11+T24</f>
        <v>22</v>
      </c>
    </row>
    <row r="4" spans="1:38" ht="14" thickBot="1">
      <c r="A4" s="22"/>
      <c r="B4" s="15"/>
      <c r="C4" s="2"/>
      <c r="D4" s="109"/>
      <c r="E4" s="2"/>
      <c r="F4" s="2"/>
      <c r="G4" s="2"/>
      <c r="H4" s="9" t="str">
        <f>LOOKUP($E$2,Critters!$A$163:$A$166,Critters!B163:B166)</f>
        <v>1-12</v>
      </c>
      <c r="I4" s="9" t="str">
        <f>LOOKUP($E$2,Critters!$A$163:$A$166,Critters!C163:C166)</f>
        <v>13-14</v>
      </c>
      <c r="J4" s="9" t="str">
        <f>LOOKUP($E$2,Critters!$A$163:$A$166,Critters!D163:D166)</f>
        <v>15-18</v>
      </c>
      <c r="K4" s="9">
        <f>LOOKUP($E$2,Critters!$A$163:$A$166,Critters!E163:E166)</f>
        <v>0</v>
      </c>
      <c r="L4" s="9">
        <f>LOOKUP($E$2,Critters!$A$163:$A$166,Critters!F163:F166)</f>
        <v>19</v>
      </c>
      <c r="M4" s="9">
        <f>LOOKUP($E$2,Critters!$A$163:$A$166,Critters!G163:G166)</f>
        <v>20</v>
      </c>
      <c r="N4" s="155"/>
      <c r="R4" t="s">
        <v>1584</v>
      </c>
      <c r="AB4">
        <v>-9</v>
      </c>
      <c r="AC4">
        <v>4</v>
      </c>
      <c r="AI4" s="248"/>
      <c r="AK4" s="248" t="s">
        <v>1297</v>
      </c>
      <c r="AL4" s="250">
        <f ca="1">IF(A32="",0,D32*6+F6)*AL1</f>
        <v>38</v>
      </c>
    </row>
    <row r="5" spans="1:38" ht="14" thickBot="1">
      <c r="A5" s="50" t="s">
        <v>1556</v>
      </c>
      <c r="B5" s="9" t="s">
        <v>1885</v>
      </c>
      <c r="C5" s="9" t="s">
        <v>2066</v>
      </c>
      <c r="D5" s="9" t="s">
        <v>2006</v>
      </c>
      <c r="E5" s="9" t="s">
        <v>2007</v>
      </c>
      <c r="F5" s="9" t="s">
        <v>1541</v>
      </c>
      <c r="G5" s="9"/>
      <c r="H5" s="19" t="s">
        <v>1965</v>
      </c>
      <c r="I5" s="69" t="s">
        <v>1710</v>
      </c>
      <c r="J5" s="27" t="s">
        <v>2349</v>
      </c>
      <c r="K5" s="156" t="s">
        <v>902</v>
      </c>
      <c r="L5" s="157"/>
      <c r="M5" s="254" t="s">
        <v>1117</v>
      </c>
      <c r="N5" s="252" t="s">
        <v>1118</v>
      </c>
      <c r="R5" t="s">
        <v>1248</v>
      </c>
      <c r="AB5">
        <v>-8</v>
      </c>
      <c r="AC5">
        <v>4</v>
      </c>
      <c r="AI5" s="249"/>
      <c r="AK5" s="248" t="s">
        <v>1602</v>
      </c>
      <c r="AL5" s="250" t="e">
        <f>IF(T31=0,0,11+T31)</f>
        <v>#REF!</v>
      </c>
    </row>
    <row r="6" spans="1:38" ht="13" customHeight="1">
      <c r="A6" s="73" t="s">
        <v>2071</v>
      </c>
      <c r="B6" s="39">
        <f t="shared" ref="B6:B9" ca="1" si="0">RANDBETWEEN(1,6)+RANDBETWEEN(1,6)+RANDBETWEEN(1,6)</f>
        <v>5</v>
      </c>
      <c r="C6" s="40">
        <f>IF(B1&gt;0,LOOKUP(B1,Critters!A2:A159,Critters!E2:E159)+LOOKUP(B1,Critters!A2:A159,Critters!O2:O159),"")</f>
        <v>-16</v>
      </c>
      <c r="D6" s="40"/>
      <c r="E6" s="40">
        <f t="shared" ref="E6:E9" ca="1" si="1">IF(B6&gt;0,SUM(B6:D6),"")</f>
        <v>-11</v>
      </c>
      <c r="F6" s="260">
        <f ca="1">IF(B6&gt;0,LOOKUP(E6,'Stat Bonuses'!A2:A122,'Stat Bonuses'!B2:B122),"")</f>
        <v>-5</v>
      </c>
      <c r="G6" s="14"/>
      <c r="H6" s="22" t="s">
        <v>2144</v>
      </c>
      <c r="I6" s="9" t="str">
        <f ca="1">IF($F$8="","",U6&amp;V6&amp;W6)</f>
        <v>10  /  6</v>
      </c>
      <c r="J6" s="23" t="str">
        <f ca="1">IF(I6="","",S6&amp;R4)</f>
        <v>0 min</v>
      </c>
      <c r="K6" s="326" t="s">
        <v>2175</v>
      </c>
      <c r="L6" s="327"/>
      <c r="M6" s="324">
        <f ca="1">N1+F18+F8</f>
        <v>30</v>
      </c>
      <c r="N6" s="328" t="str">
        <f>"Use Skill +"&amp;N1</f>
        <v>Use Skill +19</v>
      </c>
      <c r="R6" s="300">
        <f>E92</f>
        <v>0</v>
      </c>
      <c r="S6" s="300">
        <f t="shared" ref="S6:S11" si="2">ROUND(R6,2)</f>
        <v>0</v>
      </c>
      <c r="U6">
        <f ca="1">IF(F8="","",(10+E8+K1)/2)</f>
        <v>10</v>
      </c>
      <c r="V6" t="s">
        <v>1709</v>
      </c>
      <c r="W6">
        <f t="shared" ref="W6:W11" ca="1" si="3">U6*0.6</f>
        <v>6</v>
      </c>
      <c r="X6" t="s">
        <v>1708</v>
      </c>
      <c r="Y6">
        <f t="shared" ref="Y6:Y11" ca="1" si="4">W6*0.6</f>
        <v>3.5999999999999996</v>
      </c>
      <c r="Z6" t="s">
        <v>1256</v>
      </c>
      <c r="AB6">
        <v>-7</v>
      </c>
      <c r="AC6">
        <v>4</v>
      </c>
      <c r="AI6" s="249"/>
      <c r="AK6" s="248" t="s">
        <v>1453</v>
      </c>
      <c r="AL6" s="250" t="e">
        <f>IF(A40=" ",0,Y40*6+F6)</f>
        <v>#REF!</v>
      </c>
    </row>
    <row r="7" spans="1:38" ht="13" customHeight="1">
      <c r="A7" s="73" t="s">
        <v>2350</v>
      </c>
      <c r="B7" s="54">
        <f t="shared" ca="1" si="0"/>
        <v>10</v>
      </c>
      <c r="C7" s="55">
        <f>IF(B1&gt;0,LOOKUP(B1,Critters!A2:A159,Critters!F2:F159),"")</f>
        <v>0</v>
      </c>
      <c r="D7" s="55"/>
      <c r="E7" s="55">
        <f t="shared" ca="1" si="1"/>
        <v>10</v>
      </c>
      <c r="F7" s="261">
        <f ca="1">IF(B7&gt;0,LOOKUP(E7,'Stat Bonuses'!A2:A122,'Stat Bonuses'!B2:B122),"")</f>
        <v>0</v>
      </c>
      <c r="G7" s="14"/>
      <c r="H7" s="22" t="s">
        <v>1966</v>
      </c>
      <c r="I7" s="9" t="str">
        <f ca="1">IF($F$8="","",U7&amp;V7&amp;W7)</f>
        <v>20  /  12</v>
      </c>
      <c r="J7" s="23" t="str">
        <f ca="1">IF(I7="","",S7&amp;R5)</f>
        <v>0 hour</v>
      </c>
      <c r="K7" s="326"/>
      <c r="L7" s="327"/>
      <c r="M7" s="325"/>
      <c r="N7" s="328"/>
      <c r="R7" s="300">
        <f>E11</f>
        <v>0</v>
      </c>
      <c r="S7" s="300">
        <f t="shared" si="2"/>
        <v>0</v>
      </c>
      <c r="U7">
        <f ca="1">IF(F8="","",10+E8+K1)</f>
        <v>20</v>
      </c>
      <c r="V7" t="s">
        <v>1709</v>
      </c>
      <c r="W7">
        <f t="shared" ca="1" si="3"/>
        <v>12</v>
      </c>
      <c r="X7" t="s">
        <v>1708</v>
      </c>
      <c r="Y7">
        <f t="shared" ca="1" si="4"/>
        <v>7.1999999999999993</v>
      </c>
      <c r="Z7" t="s">
        <v>1256</v>
      </c>
      <c r="AB7">
        <v>-6</v>
      </c>
      <c r="AC7">
        <v>5</v>
      </c>
      <c r="AI7" s="248"/>
      <c r="AK7" s="248" t="s">
        <v>1590</v>
      </c>
      <c r="AL7" s="250">
        <f ca="1">IF(K33="",0,T33)</f>
        <v>0</v>
      </c>
    </row>
    <row r="8" spans="1:38">
      <c r="A8" s="73" t="s">
        <v>2351</v>
      </c>
      <c r="B8" s="54">
        <f t="shared" ca="1" si="0"/>
        <v>16</v>
      </c>
      <c r="C8" s="55">
        <f>IF(B1&gt;0,LOOKUP(B1,Critters!A2:A159,Critters!G2:G159),"")</f>
        <v>2</v>
      </c>
      <c r="D8" s="55"/>
      <c r="E8" s="55">
        <f t="shared" ca="1" si="1"/>
        <v>18</v>
      </c>
      <c r="F8" s="261">
        <f ca="1">IF(B8&gt;0,LOOKUP(E8,'Stat Bonuses'!A2:A122,'Stat Bonuses'!B2:B122),"")</f>
        <v>4</v>
      </c>
      <c r="G8" s="14"/>
      <c r="H8" s="22" t="s">
        <v>1577</v>
      </c>
      <c r="I8" s="9" t="str">
        <f ca="1">IF($F$8="","",U8&amp;V8&amp;W8)</f>
        <v>30  /  18</v>
      </c>
      <c r="J8" s="115" t="str">
        <f ca="1">IF(I8="","",S8&amp;R5)</f>
        <v>0 hour</v>
      </c>
      <c r="K8" s="277" t="s">
        <v>2176</v>
      </c>
      <c r="L8" s="265"/>
      <c r="M8" s="263">
        <f ca="1">IF(K33="",11+F13+F14,11+F13+F14+K33)</f>
        <v>14</v>
      </c>
      <c r="N8" s="278" t="str">
        <f ca="1">$T$22&amp;M8</f>
        <v>D20+14</v>
      </c>
      <c r="R8" s="300">
        <f>E11/1.5</f>
        <v>0</v>
      </c>
      <c r="S8" s="300">
        <f t="shared" si="2"/>
        <v>0</v>
      </c>
      <c r="U8">
        <f ca="1">IF(F8="","",(10+E8+K1)*1.5)</f>
        <v>30</v>
      </c>
      <c r="V8" t="s">
        <v>1709</v>
      </c>
      <c r="W8">
        <f t="shared" ca="1" si="3"/>
        <v>18</v>
      </c>
      <c r="X8" t="s">
        <v>1708</v>
      </c>
      <c r="Y8">
        <f t="shared" ca="1" si="4"/>
        <v>10.799999999999999</v>
      </c>
      <c r="Z8" t="s">
        <v>1256</v>
      </c>
      <c r="AB8">
        <v>-5</v>
      </c>
      <c r="AC8">
        <v>6</v>
      </c>
      <c r="AI8" s="248"/>
      <c r="AK8" s="248" t="s">
        <v>1684</v>
      </c>
      <c r="AL8" s="250">
        <f ca="1">IF(AL7=0,0,100)</f>
        <v>0</v>
      </c>
    </row>
    <row r="9" spans="1:38" ht="14" thickBot="1">
      <c r="A9" s="73" t="s">
        <v>1954</v>
      </c>
      <c r="B9" s="41">
        <f t="shared" ca="1" si="0"/>
        <v>6</v>
      </c>
      <c r="C9" s="42">
        <f>IF(B1&gt;0,LOOKUP(B1,Critters!A2:A159,Critters!H2:H159),"")</f>
        <v>0</v>
      </c>
      <c r="D9" s="42"/>
      <c r="E9" s="42">
        <f t="shared" ca="1" si="1"/>
        <v>6</v>
      </c>
      <c r="F9" s="262">
        <f ca="1">IF(B9&gt;0,LOOKUP(E9,'Stat Bonuses'!A2:A122,'Stat Bonuses'!B2:B122),"")</f>
        <v>-2</v>
      </c>
      <c r="G9" s="14"/>
      <c r="H9" s="22" t="s">
        <v>1967</v>
      </c>
      <c r="I9" s="9" t="str">
        <f ca="1">IF($F$8="","",U9&amp;V9&amp;W9)</f>
        <v>50  /  30</v>
      </c>
      <c r="J9" s="23" t="str">
        <f ca="1">IF(I9="","",S9&amp;R4)</f>
        <v>0 min</v>
      </c>
      <c r="K9" s="277" t="s">
        <v>2177</v>
      </c>
      <c r="L9" s="265"/>
      <c r="M9" s="263">
        <f ca="1">11+F13+F15+F15</f>
        <v>9</v>
      </c>
      <c r="N9" s="278" t="str">
        <f ca="1">$T$22&amp;M9</f>
        <v>D20+9</v>
      </c>
      <c r="R9" s="300">
        <f>E11/2</f>
        <v>0</v>
      </c>
      <c r="S9" s="300">
        <f t="shared" si="2"/>
        <v>0</v>
      </c>
      <c r="U9">
        <f ca="1">IF(F8="","",(10+E8+K1+Critters!AY9)*2.5)</f>
        <v>50</v>
      </c>
      <c r="V9" t="s">
        <v>1709</v>
      </c>
      <c r="W9">
        <f t="shared" ca="1" si="3"/>
        <v>30</v>
      </c>
      <c r="X9" t="s">
        <v>1708</v>
      </c>
      <c r="Y9">
        <f t="shared" ca="1" si="4"/>
        <v>18</v>
      </c>
      <c r="Z9" t="s">
        <v>1256</v>
      </c>
      <c r="AB9">
        <v>-4</v>
      </c>
      <c r="AC9">
        <v>7</v>
      </c>
      <c r="AI9" s="248"/>
      <c r="AK9" s="248" t="s">
        <v>1820</v>
      </c>
      <c r="AL9" s="250">
        <f ca="1">M6</f>
        <v>30</v>
      </c>
    </row>
    <row r="10" spans="1:38">
      <c r="A10" s="73"/>
      <c r="B10" s="16"/>
      <c r="C10" s="16"/>
      <c r="D10" s="16"/>
      <c r="E10" s="16"/>
      <c r="F10" s="263"/>
      <c r="G10" s="14"/>
      <c r="H10" s="22" t="s">
        <v>1377</v>
      </c>
      <c r="I10" s="9" t="str">
        <f ca="1">IF($F$8="","",U10&amp;V10&amp;W10)</f>
        <v>70  /  42</v>
      </c>
      <c r="J10" s="23" t="str">
        <f ca="1">IF(I10="","",S10&amp;R3)</f>
        <v>0 sec</v>
      </c>
      <c r="K10" s="279" t="s">
        <v>2178</v>
      </c>
      <c r="L10" s="265"/>
      <c r="M10" s="263" t="str">
        <f ca="1">T22&amp;(11+F13+F9)</f>
        <v>D20+9</v>
      </c>
      <c r="N10" s="280" t="s">
        <v>2179</v>
      </c>
      <c r="R10" s="300">
        <f>E11*4</f>
        <v>0</v>
      </c>
      <c r="S10" s="300">
        <f t="shared" si="2"/>
        <v>0</v>
      </c>
      <c r="U10">
        <f ca="1">IF(F8="","",(10+E8+K1+Critters!AY9)*3.5)</f>
        <v>70</v>
      </c>
      <c r="V10" t="s">
        <v>1709</v>
      </c>
      <c r="W10">
        <f t="shared" ca="1" si="3"/>
        <v>42</v>
      </c>
      <c r="X10" t="s">
        <v>1708</v>
      </c>
      <c r="Y10">
        <f t="shared" ca="1" si="4"/>
        <v>25.2</v>
      </c>
      <c r="Z10" t="s">
        <v>1256</v>
      </c>
      <c r="AB10">
        <v>-3</v>
      </c>
      <c r="AC10">
        <v>8</v>
      </c>
      <c r="AI10" s="248"/>
      <c r="AK10" s="248" t="s">
        <v>1116</v>
      </c>
      <c r="AL10" s="250">
        <f ca="1">M8</f>
        <v>14</v>
      </c>
    </row>
    <row r="11" spans="1:38" ht="14" thickBot="1">
      <c r="A11" s="53" t="s">
        <v>853</v>
      </c>
      <c r="B11" s="16"/>
      <c r="C11" s="16"/>
      <c r="D11" s="16"/>
      <c r="E11" s="16"/>
      <c r="F11" s="263"/>
      <c r="G11" s="14"/>
      <c r="H11" s="24" t="str">
        <f>IF(LOOKUP(B1,Critters!A2:A159,Critters!BB2:BB160)="Yes","Flying","")</f>
        <v/>
      </c>
      <c r="I11" s="25" t="str">
        <f>IF(H11="Flying",(U11&amp;V11&amp;W11),"")</f>
        <v/>
      </c>
      <c r="J11" s="26" t="str">
        <f>IF(I11="","",(S11&amp;R5))</f>
        <v/>
      </c>
      <c r="K11" s="281" t="s">
        <v>2180</v>
      </c>
      <c r="L11" s="273"/>
      <c r="M11" s="282" t="str">
        <f ca="1">T22&amp;(11+F13+F15)</f>
        <v>D20+10</v>
      </c>
      <c r="N11" s="283" t="s">
        <v>2179</v>
      </c>
      <c r="R11" s="300">
        <f>E11</f>
        <v>0</v>
      </c>
      <c r="S11" s="300">
        <f t="shared" si="2"/>
        <v>0</v>
      </c>
      <c r="U11">
        <f>IF(LOOKUP(B1,Critters!A2:A159,Critters!BB2:BB160)="Yes",(Critters!AY9+CritterSheet!U7),0)</f>
        <v>0</v>
      </c>
      <c r="V11" t="s">
        <v>1709</v>
      </c>
      <c r="W11">
        <f t="shared" si="3"/>
        <v>0</v>
      </c>
      <c r="X11" t="s">
        <v>1708</v>
      </c>
      <c r="Y11">
        <f t="shared" si="4"/>
        <v>0</v>
      </c>
      <c r="Z11" t="s">
        <v>1256</v>
      </c>
      <c r="AB11">
        <v>-2</v>
      </c>
      <c r="AC11">
        <v>9</v>
      </c>
      <c r="AI11" s="248"/>
      <c r="AK11" s="248" t="s">
        <v>2021</v>
      </c>
      <c r="AL11" s="250">
        <f ca="1">M9</f>
        <v>9</v>
      </c>
    </row>
    <row r="12" spans="1:38" ht="14" thickBot="1">
      <c r="A12" s="73" t="s">
        <v>1955</v>
      </c>
      <c r="B12" s="39">
        <f ca="1">RANDBETWEEN(1,4)+RANDBETWEEN(1,4)</f>
        <v>3</v>
      </c>
      <c r="C12" s="40">
        <f>IF(B1&gt;0,LOOKUP(B1,Critters!A2:A159,Critters!I2:I159),"")</f>
        <v>0</v>
      </c>
      <c r="D12" s="40"/>
      <c r="E12" s="40">
        <f t="shared" ref="E12:E15" ca="1" si="5">IF(B12&gt;0,SUM(B12:D12),"")</f>
        <v>3</v>
      </c>
      <c r="F12" s="260">
        <f ca="1">IF(B12&gt;0,LOOKUP(E12,'Stat Bonuses'!A2:A122,'Stat Bonuses'!B2:B122),"")</f>
        <v>-4</v>
      </c>
      <c r="G12" s="14"/>
      <c r="H12" s="2"/>
      <c r="I12" s="2"/>
      <c r="J12" s="2"/>
      <c r="K12" s="118"/>
      <c r="L12" s="118"/>
      <c r="M12" s="118"/>
      <c r="N12" s="155"/>
      <c r="AB12">
        <v>-1</v>
      </c>
      <c r="AC12">
        <v>10</v>
      </c>
      <c r="AI12" s="248"/>
      <c r="AK12" s="248" t="s">
        <v>533</v>
      </c>
      <c r="AL12" s="250">
        <f ca="1">F13+F9</f>
        <v>-2</v>
      </c>
    </row>
    <row r="13" spans="1:38">
      <c r="A13" s="73" t="s">
        <v>1956</v>
      </c>
      <c r="B13" s="54">
        <f ca="1">RANDBETWEEN(1,6)+RANDBETWEEN(1,6)+RANDBETWEEN(1,6)</f>
        <v>11</v>
      </c>
      <c r="C13" s="55">
        <f>IF(B1&gt;0,LOOKUP(B1,Critters!A2:A159,Critters!J2:J159),"")</f>
        <v>0</v>
      </c>
      <c r="D13" s="55"/>
      <c r="E13" s="55">
        <f t="shared" ca="1" si="5"/>
        <v>11</v>
      </c>
      <c r="F13" s="261">
        <f ca="1">IF(B13&gt;0,LOOKUP(E13,'Stat Bonuses'!A2:A122,'Stat Bonuses'!B2:B122),"")</f>
        <v>0</v>
      </c>
      <c r="G13" s="14"/>
      <c r="H13" s="302" t="s">
        <v>1562</v>
      </c>
      <c r="I13" s="303"/>
      <c r="J13" s="304"/>
      <c r="K13" s="305" t="s">
        <v>834</v>
      </c>
      <c r="L13" s="306"/>
      <c r="M13" s="310">
        <f ca="1">IF(B9=0,"",IF(K1&lt;0,Z1,IF(K1&gt;0,Z2,Z3)))</f>
        <v>1</v>
      </c>
      <c r="N13" s="307"/>
      <c r="R13" t="b">
        <f>IF(K1&gt;1,K1)</f>
        <v>0</v>
      </c>
      <c r="AI13" s="248"/>
      <c r="AK13" s="248" t="s">
        <v>534</v>
      </c>
      <c r="AL13" s="250">
        <f ca="1">F13+F15</f>
        <v>-1</v>
      </c>
    </row>
    <row r="14" spans="1:38">
      <c r="A14" s="73" t="s">
        <v>1402</v>
      </c>
      <c r="B14" s="54">
        <f ca="1">RANDBETWEEN(1,6)+RANDBETWEEN(1,6)+RANDBETWEEN(1,6)</f>
        <v>17</v>
      </c>
      <c r="C14" s="55">
        <f>IF(B1&gt;0,LOOKUP(B1,Critters!A2:A159,Critters!K2:K159),"")</f>
        <v>0</v>
      </c>
      <c r="D14" s="55"/>
      <c r="E14" s="55">
        <f t="shared" ca="1" si="5"/>
        <v>17</v>
      </c>
      <c r="F14" s="261">
        <f ca="1">IF(B14&gt;0,LOOKUP(E14,'Stat Bonuses'!A2:A122,'Stat Bonuses'!B2:B122),"")</f>
        <v>3</v>
      </c>
      <c r="G14" s="14"/>
      <c r="H14" s="68" t="s">
        <v>1211</v>
      </c>
      <c r="I14" s="77"/>
      <c r="J14" s="123" t="s">
        <v>840</v>
      </c>
      <c r="K14" s="308"/>
      <c r="L14" s="160" t="s">
        <v>1158</v>
      </c>
      <c r="M14" s="309"/>
      <c r="N14" s="161" t="s">
        <v>1690</v>
      </c>
      <c r="AI14" s="248"/>
      <c r="AK14" s="248" t="s">
        <v>1838</v>
      </c>
      <c r="AL14" s="250">
        <f>(C24+D24+E24)/3</f>
        <v>3.5</v>
      </c>
    </row>
    <row r="15" spans="1:38" ht="14" thickBot="1">
      <c r="A15" s="73" t="s">
        <v>1278</v>
      </c>
      <c r="B15" s="54">
        <f ca="1">RANDBETWEEN(1,6)+RANDBETWEEN(1,6)+RANDBETWEEN(1,6)</f>
        <v>8</v>
      </c>
      <c r="C15" s="55">
        <f>IF(B1&gt;0,LOOKUP(B1,Critters!A2:A159,Critters!L2:L159),"")</f>
        <v>0</v>
      </c>
      <c r="D15" s="55"/>
      <c r="E15" s="55">
        <f t="shared" ca="1" si="5"/>
        <v>8</v>
      </c>
      <c r="F15" s="261">
        <f ca="1">IF(B15&gt;0,LOOKUP(E15,'Stat Bonuses'!A2:A122,'Stat Bonuses'!B2:B122),"")</f>
        <v>-1</v>
      </c>
      <c r="G15" s="14"/>
      <c r="H15" s="68"/>
      <c r="I15" s="2"/>
      <c r="J15" s="123" t="s">
        <v>2262</v>
      </c>
      <c r="K15" s="162" t="s">
        <v>1691</v>
      </c>
      <c r="L15" s="47"/>
      <c r="M15" s="167" t="s">
        <v>952</v>
      </c>
      <c r="N15" s="154">
        <v>0</v>
      </c>
      <c r="AI15" s="248"/>
      <c r="AK15" s="248" t="s">
        <v>1837</v>
      </c>
      <c r="AL15" s="251">
        <f ca="1">M13</f>
        <v>1</v>
      </c>
    </row>
    <row r="16" spans="1:38" ht="14" thickBot="1">
      <c r="A16" s="73"/>
      <c r="B16" s="16"/>
      <c r="C16" s="16"/>
      <c r="D16" s="16"/>
      <c r="E16" s="16"/>
      <c r="F16" s="263"/>
      <c r="G16" s="14"/>
      <c r="H16" s="35"/>
      <c r="I16" s="2"/>
      <c r="J16" s="124"/>
      <c r="K16" s="163" t="s">
        <v>1692</v>
      </c>
      <c r="L16" s="46">
        <f ca="1">M13*M16</f>
        <v>0.5</v>
      </c>
      <c r="M16" s="18">
        <v>0.5</v>
      </c>
      <c r="N16" s="164">
        <v>-1</v>
      </c>
      <c r="AI16" s="248"/>
      <c r="AK16" s="248" t="s">
        <v>1229</v>
      </c>
      <c r="AL16" s="218" t="e">
        <f ca="1">SUM(AL1:AL15)</f>
        <v>#REF!</v>
      </c>
    </row>
    <row r="17" spans="1:38" ht="14" thickBot="1">
      <c r="A17" s="53" t="s">
        <v>854</v>
      </c>
      <c r="B17" s="16"/>
      <c r="C17" s="16"/>
      <c r="D17" s="16"/>
      <c r="E17" s="16"/>
      <c r="F17" s="263"/>
      <c r="G17" s="14"/>
      <c r="H17" s="35"/>
      <c r="I17" s="2"/>
      <c r="J17" s="124"/>
      <c r="K17" s="162" t="s">
        <v>1569</v>
      </c>
      <c r="L17" s="47">
        <f ca="1">M13*M17</f>
        <v>0.75</v>
      </c>
      <c r="M17" s="17">
        <v>0.75</v>
      </c>
      <c r="N17" s="154">
        <v>-2</v>
      </c>
      <c r="AI17" s="248"/>
      <c r="AK17" s="248" t="s">
        <v>614</v>
      </c>
      <c r="AL17" s="218" t="e">
        <f ca="1">AL16/50</f>
        <v>#REF!</v>
      </c>
    </row>
    <row r="18" spans="1:38" ht="14" thickBot="1">
      <c r="A18" s="73" t="s">
        <v>2268</v>
      </c>
      <c r="B18" s="39">
        <f ca="1">IF(B12&gt;0,(B12+B14)/2,"")</f>
        <v>10</v>
      </c>
      <c r="C18" s="40">
        <f>IF(B1&gt;0,LOOKUP(B1,Critters!A2:A159,Critters!M2:M159),"")</f>
        <v>15</v>
      </c>
      <c r="D18" s="40" t="s">
        <v>1159</v>
      </c>
      <c r="E18" s="40">
        <f ca="1">IF(B12&gt;0,(E12+E14)/2+C18,"")</f>
        <v>25</v>
      </c>
      <c r="F18" s="260">
        <f ca="1">IF(B18&gt;0,LOOKUP(E18,'Stat Bonuses'!A2:A122,'Stat Bonuses'!B2:B122),"")</f>
        <v>7</v>
      </c>
      <c r="G18" s="14"/>
      <c r="H18" s="35"/>
      <c r="I18" s="2"/>
      <c r="J18" s="124"/>
      <c r="K18" s="163" t="s">
        <v>1570</v>
      </c>
      <c r="L18" s="46">
        <f ca="1">M13*M18</f>
        <v>0.85</v>
      </c>
      <c r="M18" s="18">
        <v>0.85</v>
      </c>
      <c r="N18" s="164">
        <v>-3</v>
      </c>
      <c r="AI18" s="248"/>
      <c r="AK18" s="248" t="s">
        <v>896</v>
      </c>
      <c r="AL18" s="218" t="e">
        <f ca="1">IF(E2="Ferocious",AL17*2,IF(E2="Aggressive",AL17*1.5,IF(E2="""Dangerous",AL17,AL17*0.5)))</f>
        <v>#REF!</v>
      </c>
    </row>
    <row r="19" spans="1:38" ht="14" thickBot="1">
      <c r="A19" s="73" t="s">
        <v>615</v>
      </c>
      <c r="B19" s="41">
        <f ca="1">IF(B18="","",(B18+B8)/2)</f>
        <v>13</v>
      </c>
      <c r="C19" s="42">
        <f>IF(B1&gt;0,LOOKUP(B1,Critters!A2:A159,Critters!N2:N159),"")</f>
        <v>2</v>
      </c>
      <c r="D19" s="42" t="s">
        <v>1159</v>
      </c>
      <c r="E19" s="42">
        <f ca="1">IF(E18="","",(E18+E8)/2)</f>
        <v>21.5</v>
      </c>
      <c r="F19" s="262">
        <f ca="1">IF(B19&gt;0,LOOKUP(E19,'Stat Bonuses'!A2:A122,'Stat Bonuses'!B2:B122),"")</f>
        <v>5</v>
      </c>
      <c r="G19" s="14"/>
      <c r="H19" s="35"/>
      <c r="I19" s="2"/>
      <c r="J19" s="124"/>
      <c r="K19" s="162" t="s">
        <v>1693</v>
      </c>
      <c r="L19" s="47">
        <f ca="1">M13*M19</f>
        <v>0.9</v>
      </c>
      <c r="M19" s="17">
        <v>0.9</v>
      </c>
      <c r="N19" s="154">
        <v>-4</v>
      </c>
      <c r="AI19" s="248"/>
    </row>
    <row r="20" spans="1:38">
      <c r="A20" s="73"/>
      <c r="B20" s="16"/>
      <c r="C20" s="16"/>
      <c r="D20" s="16"/>
      <c r="E20" s="16"/>
      <c r="F20" s="263"/>
      <c r="G20" s="16"/>
      <c r="H20" s="35"/>
      <c r="I20" s="2"/>
      <c r="J20" s="124"/>
      <c r="K20" s="163" t="s">
        <v>1568</v>
      </c>
      <c r="L20" s="46">
        <f ca="1">M13*M20</f>
        <v>0.95</v>
      </c>
      <c r="M20" s="18">
        <v>0.95</v>
      </c>
      <c r="N20" s="164">
        <v>-5</v>
      </c>
      <c r="R20" t="s">
        <v>1492</v>
      </c>
      <c r="S20" s="89" t="s">
        <v>2092</v>
      </c>
    </row>
    <row r="21" spans="1:38">
      <c r="A21" s="73"/>
      <c r="B21" s="16"/>
      <c r="C21" s="16"/>
      <c r="D21" s="16"/>
      <c r="E21" s="16"/>
      <c r="F21" s="263"/>
      <c r="G21" s="16"/>
      <c r="H21" s="22"/>
      <c r="I21" s="2"/>
      <c r="J21" s="124"/>
      <c r="K21" s="165" t="s">
        <v>1210</v>
      </c>
      <c r="L21" s="47">
        <f ca="1">M13*M21</f>
        <v>1</v>
      </c>
      <c r="M21" s="17">
        <v>1</v>
      </c>
      <c r="N21" s="154" t="s">
        <v>1159</v>
      </c>
      <c r="R21" t="s">
        <v>1493</v>
      </c>
      <c r="S21" t="s">
        <v>1121</v>
      </c>
    </row>
    <row r="22" spans="1:38" ht="14" thickBot="1">
      <c r="A22" s="22"/>
      <c r="B22" s="2"/>
      <c r="C22" s="2"/>
      <c r="D22" s="2"/>
      <c r="E22" s="2"/>
      <c r="F22" s="2"/>
      <c r="G22" s="2"/>
      <c r="H22" s="24"/>
      <c r="I22" s="28"/>
      <c r="J22" s="125"/>
      <c r="K22" s="158" t="s">
        <v>1561</v>
      </c>
      <c r="L22" s="48">
        <f ca="1">M13*M22</f>
        <v>1.2</v>
      </c>
      <c r="M22" s="36">
        <v>1.2</v>
      </c>
      <c r="N22" s="159" t="s">
        <v>1159</v>
      </c>
      <c r="R22" t="s">
        <v>1000</v>
      </c>
      <c r="S22" t="s">
        <v>1674</v>
      </c>
      <c r="T22" s="221" t="s">
        <v>845</v>
      </c>
    </row>
    <row r="23" spans="1:38">
      <c r="A23" s="19" t="s">
        <v>1125</v>
      </c>
      <c r="B23" s="20"/>
      <c r="C23" s="20" t="s">
        <v>1264</v>
      </c>
      <c r="D23" s="20" t="s">
        <v>1688</v>
      </c>
      <c r="E23" s="20" t="s">
        <v>1689</v>
      </c>
      <c r="F23" s="21" t="s">
        <v>1230</v>
      </c>
      <c r="G23" s="8"/>
      <c r="H23" s="19" t="s">
        <v>852</v>
      </c>
      <c r="I23" s="265"/>
      <c r="J23" s="266"/>
      <c r="K23" s="119" t="s">
        <v>1403</v>
      </c>
      <c r="L23" s="119" t="s">
        <v>1253</v>
      </c>
      <c r="M23" s="119" t="s">
        <v>1279</v>
      </c>
      <c r="N23" s="267" t="s">
        <v>1229</v>
      </c>
      <c r="O23" s="221"/>
      <c r="P23" s="96"/>
      <c r="Q23" s="221"/>
      <c r="R23" s="96" t="s">
        <v>2418</v>
      </c>
      <c r="S23" s="96" t="s">
        <v>2173</v>
      </c>
      <c r="T23" s="88" t="s">
        <v>2174</v>
      </c>
      <c r="U23" s="268" t="s">
        <v>2156</v>
      </c>
      <c r="V23" s="95" t="s">
        <v>2020</v>
      </c>
      <c r="W23" s="95"/>
      <c r="X23" s="95"/>
      <c r="Y23" s="95"/>
      <c r="Z23" s="95"/>
      <c r="AA23" s="95"/>
      <c r="AB23" s="95"/>
      <c r="AC23" s="95"/>
      <c r="AD23" s="95"/>
      <c r="AE23" s="95"/>
    </row>
    <row r="24" spans="1:38">
      <c r="A24" s="29" t="str">
        <f>IF(B1="","",LOOKUP(B1,Critters!A2:A159,Critters!Q2:Q159))</f>
        <v>Light Hide</v>
      </c>
      <c r="B24" s="9" t="s">
        <v>1126</v>
      </c>
      <c r="C24" s="47">
        <f>IF(A24="","",LOOKUP(A24,Armor!$A$2:$A$13,Armor!$B$2:$B$13))</f>
        <v>4</v>
      </c>
      <c r="D24" s="47">
        <f>IF(A24="","",LOOKUP(A24,Armor!$A$2:$A$13,Armor!$C$2:$C$13))</f>
        <v>3</v>
      </c>
      <c r="E24" s="47">
        <f>IF(A24="","",LOOKUP(A24,Armor!$A$2:$A$13,Armor!$D$2:$D$13))</f>
        <v>3.5</v>
      </c>
      <c r="F24" s="23">
        <f>IF(A24="","",LOOKUP(A24,Armor!$A$2:$A$13,Armor!$E$2:$E$13))</f>
        <v>0</v>
      </c>
      <c r="G24" s="9"/>
      <c r="H24" s="43" t="str">
        <f>A32</f>
        <v>Bash</v>
      </c>
      <c r="I24" s="269"/>
      <c r="J24" s="269"/>
      <c r="K24" s="72">
        <f>IF(H24=" ","",LOOKUP($B$1,Critters!$A$2:$A$152,Critters!$AD$2:$AD$152))</f>
        <v>7</v>
      </c>
      <c r="L24" s="46" t="str">
        <f>IF(H24&lt;&gt;" ",LOOKUP(H24,Skills!A2:A94,Skills!B2:B94),"")</f>
        <v>Agility</v>
      </c>
      <c r="M24" s="270">
        <f t="shared" ref="M24:M29" ca="1" si="6">IF(H24&lt;&gt;" ",LOOKUP(L24,$R$24:$R$33,$S$24:$S$33),"")</f>
        <v>4</v>
      </c>
      <c r="N24" s="271" t="str">
        <f ca="1">IF(H24&lt;&gt;" ",$T$22&amp;T24,"")</f>
        <v>D20+11</v>
      </c>
      <c r="O24" s="221"/>
      <c r="P24" s="221"/>
      <c r="Q24" s="221"/>
      <c r="R24" s="12" t="s">
        <v>2351</v>
      </c>
      <c r="S24" s="140">
        <f ca="1">F8</f>
        <v>4</v>
      </c>
      <c r="T24" s="276">
        <f ca="1">IF(H24&lt;&gt;" ",ROUND(U24,0),0)</f>
        <v>11</v>
      </c>
      <c r="U24" s="276">
        <f ca="1">IF(H24&lt;&gt;" ",K24+M24,"")</f>
        <v>11</v>
      </c>
      <c r="V24">
        <f>IF(H24&lt;&gt;" ",1,0)</f>
        <v>1</v>
      </c>
    </row>
    <row r="25" spans="1:38">
      <c r="A25" s="29" t="str">
        <f>IF(B1="","",LOOKUP(B1,Critters!A2:A159,Critters!R2:R159))</f>
        <v>Light Hide</v>
      </c>
      <c r="B25" s="9" t="s">
        <v>1127</v>
      </c>
      <c r="C25" s="47">
        <f>IF(A25="","",LOOKUP(A25,Armor!$A$2:$A$13,Armor!$B$2:$B$13))</f>
        <v>4</v>
      </c>
      <c r="D25" s="47">
        <f>IF(A25="","",LOOKUP(A25,Armor!$A$2:$A$13,Armor!$C$2:$C$13))</f>
        <v>3</v>
      </c>
      <c r="E25" s="47">
        <f>IF(A25="","",LOOKUP(A25,Armor!$A$2:$A$13,Armor!$D$2:$D$13))</f>
        <v>3.5</v>
      </c>
      <c r="F25" s="23">
        <f>IF(A25="","",LOOKUP(A25,Armor!$A$2:$A$13,Armor!$E$2:$E$13))</f>
        <v>0</v>
      </c>
      <c r="G25" s="9"/>
      <c r="H25" s="43" t="str">
        <f t="shared" ref="H25:H29" si="7">A33</f>
        <v>Bite</v>
      </c>
      <c r="I25" s="269"/>
      <c r="J25" s="269"/>
      <c r="K25" s="72">
        <f>IF(H25=" ","",LOOKUP($B$1,Critters!$A$2:$A$152,Critters!$AD$2:$AD$152))</f>
        <v>7</v>
      </c>
      <c r="L25" s="46" t="str">
        <f>IF(H25&lt;&gt;" ",LOOKUP(H25,Skills!A3:A95,Skills!B3:B95),"")</f>
        <v>Agility</v>
      </c>
      <c r="M25" s="270">
        <f t="shared" ca="1" si="6"/>
        <v>4</v>
      </c>
      <c r="N25" s="271" t="str">
        <f ca="1">IF(H25&lt;&gt;" ",$T$22&amp;T25,"")</f>
        <v>D20+11</v>
      </c>
      <c r="O25" s="221"/>
      <c r="P25" s="221"/>
      <c r="Q25" s="221"/>
      <c r="R25" s="12" t="s">
        <v>2268</v>
      </c>
      <c r="S25" s="140">
        <f ca="1">F18</f>
        <v>7</v>
      </c>
      <c r="T25" s="276">
        <f ca="1">IF(H25&lt;&gt;" ",ROUND(U25,0),0)</f>
        <v>11</v>
      </c>
      <c r="U25" s="276">
        <f t="shared" ref="U25:U37" ca="1" si="8">IF(H25&lt;&gt;" ",K25+M25,"")</f>
        <v>11</v>
      </c>
      <c r="V25">
        <f t="shared" ref="V25:V29" si="9">IF(H25&lt;&gt;" ",1,0)</f>
        <v>1</v>
      </c>
    </row>
    <row r="26" spans="1:38">
      <c r="A26" s="29" t="str">
        <f>IF(B1="","",LOOKUP(B1,Critters!A2:A159,Critters!S2:S159))</f>
        <v>Light Hide</v>
      </c>
      <c r="B26" s="9" t="s">
        <v>1128</v>
      </c>
      <c r="C26" s="47">
        <f>IF(A26="","",LOOKUP(A26,Armor!$A$2:$A$13,Armor!$B$2:$B$13))</f>
        <v>4</v>
      </c>
      <c r="D26" s="47">
        <f>IF(A26="","",LOOKUP(A26,Armor!$A$2:$A$13,Armor!$C$2:$C$13))</f>
        <v>3</v>
      </c>
      <c r="E26" s="47">
        <f>IF(A26="","",LOOKUP(A26,Armor!$A$2:$A$13,Armor!$D$2:$D$13))</f>
        <v>3.5</v>
      </c>
      <c r="F26" s="23">
        <f>IF(A26="","",LOOKUP(A26,Armor!$A$2:$A$13,Armor!$E$2:$E$13))</f>
        <v>0</v>
      </c>
      <c r="G26" s="2"/>
      <c r="H26" s="43" t="str">
        <f t="shared" si="7"/>
        <v xml:space="preserve"> </v>
      </c>
      <c r="I26" s="269"/>
      <c r="J26" s="269"/>
      <c r="K26" s="72" t="str">
        <f>IF(H26=" ","",LOOKUP($B$1,Critters!$A$2:$A$152,Critters!$AD$2:$AD$152))</f>
        <v/>
      </c>
      <c r="L26" s="46" t="str">
        <f>IF(H26&lt;&gt;" ",LOOKUP(H26,Skills!A4:A96,Skills!B4:B96),"")</f>
        <v/>
      </c>
      <c r="M26" s="270" t="str">
        <f t="shared" si="6"/>
        <v/>
      </c>
      <c r="N26" s="271" t="str">
        <f t="shared" ref="N26:N37" si="10">IF(H26&lt;&gt;" ",$T$22&amp;T26,"")</f>
        <v/>
      </c>
      <c r="O26" s="221"/>
      <c r="P26" s="221"/>
      <c r="Q26" s="221"/>
      <c r="R26" s="12" t="s">
        <v>2350</v>
      </c>
      <c r="S26" s="140">
        <f ca="1">F7</f>
        <v>0</v>
      </c>
      <c r="T26" s="276">
        <f t="shared" ref="T26:T37" si="11">IF(H26&lt;&gt;" ",ROUND(U26,0),0)</f>
        <v>0</v>
      </c>
      <c r="U26" s="276" t="str">
        <f t="shared" si="8"/>
        <v/>
      </c>
      <c r="V26">
        <f t="shared" si="9"/>
        <v>0</v>
      </c>
    </row>
    <row r="27" spans="1:38">
      <c r="A27" s="29" t="str">
        <f>IF(B1="","",LOOKUP(B1,Critters!A2:A159,Critters!T2:T159))</f>
        <v>Light Hide</v>
      </c>
      <c r="B27" s="9" t="s">
        <v>1129</v>
      </c>
      <c r="C27" s="47">
        <f>IF(A27="","",LOOKUP(A27,Armor!$A$2:$A$13,Armor!$B$2:$B$13))</f>
        <v>4</v>
      </c>
      <c r="D27" s="47">
        <f>IF(A27="","",LOOKUP(A27,Armor!$A$2:$A$13,Armor!$C$2:$C$13))</f>
        <v>3</v>
      </c>
      <c r="E27" s="47">
        <f>IF(A27="","",LOOKUP(A27,Armor!$A$2:$A$13,Armor!$D$2:$D$13))</f>
        <v>3.5</v>
      </c>
      <c r="F27" s="23">
        <f>IF(A27="","",LOOKUP(A27,Armor!$A$2:$A$13,Armor!$E$2:$E$13))</f>
        <v>0</v>
      </c>
      <c r="G27" s="15"/>
      <c r="H27" s="43" t="str">
        <f t="shared" si="7"/>
        <v xml:space="preserve"> </v>
      </c>
      <c r="I27" s="272"/>
      <c r="J27" s="272"/>
      <c r="K27" s="72" t="str">
        <f>IF(H27=" ","",LOOKUP($B$1,Critters!$A$2:$A$152,Critters!$AD$2:$AD$152))</f>
        <v/>
      </c>
      <c r="L27" s="46" t="str">
        <f>IF(H27&lt;&gt;" ",LOOKUP(H27,Skills!A5:A97,Skills!B5:B97),"")</f>
        <v/>
      </c>
      <c r="M27" s="270" t="str">
        <f t="shared" si="6"/>
        <v/>
      </c>
      <c r="N27" s="271" t="str">
        <f t="shared" si="10"/>
        <v/>
      </c>
      <c r="O27" s="221"/>
      <c r="P27" s="221"/>
      <c r="Q27" s="221"/>
      <c r="R27" s="12" t="s">
        <v>615</v>
      </c>
      <c r="S27" s="140">
        <f ca="1">F19</f>
        <v>5</v>
      </c>
      <c r="T27" s="276">
        <f t="shared" si="11"/>
        <v>0</v>
      </c>
      <c r="U27" s="276" t="str">
        <f t="shared" si="8"/>
        <v/>
      </c>
      <c r="V27">
        <f t="shared" si="9"/>
        <v>0</v>
      </c>
    </row>
    <row r="28" spans="1:38">
      <c r="A28" s="29" t="str">
        <f>IF(B1=0,"",IF(B28="","",LOOKUP(B1,Critters!A2:A159,Critters!U2:U159)))</f>
        <v/>
      </c>
      <c r="B28" s="9" t="str">
        <f>IF(LOOKUP(B1,Critters!A2:A159,Critters!BB2:BB160)="Yes","Wings","")</f>
        <v/>
      </c>
      <c r="C28" s="47" t="str">
        <f>IF(A28="","",LOOKUP(A28,Armor!$A$2:$A$13,Armor!$B$2:$B$13))</f>
        <v/>
      </c>
      <c r="D28" s="47" t="str">
        <f>IF(A28="","",LOOKUP(A28,Armor!$A$2:$A$13,Armor!$C$2:$C$13))</f>
        <v/>
      </c>
      <c r="E28" s="47" t="str">
        <f>IF(A28="","",LOOKUP(A28,Armor!$A$2:$A$13,Armor!$D$2:$D$13))</f>
        <v/>
      </c>
      <c r="F28" s="23" t="str">
        <f>IF(A28="","",LOOKUP(A28,Armor!$A$2:$A$13,Armor!$E$2:$E$13))</f>
        <v/>
      </c>
      <c r="G28" s="9"/>
      <c r="H28" s="43" t="str">
        <f t="shared" si="7"/>
        <v xml:space="preserve"> </v>
      </c>
      <c r="I28" s="269"/>
      <c r="J28" s="269"/>
      <c r="K28" s="72" t="str">
        <f>IF(H28=" ","",LOOKUP($B$1,Critters!$A$2:$A$152,Critters!$AD$2:$AD$152))</f>
        <v/>
      </c>
      <c r="L28" s="46" t="str">
        <f>IF(H28&lt;&gt;" ",LOOKUP(H28,Skills!A6:A98,Skills!B6:B98),"")</f>
        <v/>
      </c>
      <c r="M28" s="270" t="str">
        <f t="shared" si="6"/>
        <v/>
      </c>
      <c r="N28" s="271" t="str">
        <f t="shared" si="10"/>
        <v/>
      </c>
      <c r="O28" s="221"/>
      <c r="P28" s="221"/>
      <c r="Q28" s="221"/>
      <c r="R28" s="12" t="s">
        <v>1955</v>
      </c>
      <c r="S28" s="140">
        <f ca="1">F12</f>
        <v>-4</v>
      </c>
      <c r="T28" s="276">
        <f t="shared" si="11"/>
        <v>0</v>
      </c>
      <c r="U28" s="276" t="str">
        <f t="shared" si="8"/>
        <v/>
      </c>
      <c r="V28">
        <f t="shared" si="9"/>
        <v>0</v>
      </c>
    </row>
    <row r="29" spans="1:38" ht="14" thickBot="1">
      <c r="A29" s="24"/>
      <c r="B29" s="28"/>
      <c r="C29" s="28"/>
      <c r="D29" s="28"/>
      <c r="E29" s="28"/>
      <c r="F29" s="71"/>
      <c r="G29" s="9"/>
      <c r="H29" s="43" t="str">
        <f t="shared" si="7"/>
        <v xml:space="preserve"> </v>
      </c>
      <c r="I29" s="272"/>
      <c r="J29" s="272"/>
      <c r="K29" s="72" t="str">
        <f>IF(H29=" ","",LOOKUP($B$1,Critters!$A$2:$A$152,Critters!$AD$2:$AD$152))</f>
        <v/>
      </c>
      <c r="L29" s="46" t="str">
        <f>IF(H29&lt;&gt;" ",LOOKUP(H29,Skills!A8:A99,Skills!B8:B99),"")</f>
        <v/>
      </c>
      <c r="M29" s="270" t="str">
        <f t="shared" si="6"/>
        <v/>
      </c>
      <c r="N29" s="271" t="str">
        <f t="shared" si="10"/>
        <v/>
      </c>
      <c r="O29" s="221"/>
      <c r="P29" s="221"/>
      <c r="Q29" s="221"/>
      <c r="R29" s="12" t="s">
        <v>1402</v>
      </c>
      <c r="S29" s="140">
        <f ca="1">F14</f>
        <v>3</v>
      </c>
      <c r="T29" s="276">
        <f t="shared" si="11"/>
        <v>0</v>
      </c>
      <c r="U29" s="276" t="str">
        <f t="shared" si="8"/>
        <v/>
      </c>
      <c r="V29">
        <f t="shared" si="9"/>
        <v>0</v>
      </c>
    </row>
    <row r="30" spans="1:38" ht="14" thickBot="1">
      <c r="A30" s="22"/>
      <c r="B30" s="2"/>
      <c r="C30" s="118"/>
      <c r="D30" s="118"/>
      <c r="E30" s="118"/>
      <c r="F30" s="2"/>
      <c r="G30" s="2"/>
      <c r="H30" s="43" t="s">
        <v>1576</v>
      </c>
      <c r="I30" s="269"/>
      <c r="J30" s="269"/>
      <c r="K30" s="72">
        <f>IF(H30&lt;&gt;"",LOOKUP($B$1,Critters!$A$2:$A$152,Critters!$AE$2:$AE$152),"")</f>
        <v>8</v>
      </c>
      <c r="L30" s="46" t="str">
        <f>IF(H30&lt;&gt;"",LOOKUP(H30,Skills!A2:A93,Skills!B2:B93),"")</f>
        <v>Agility</v>
      </c>
      <c r="M30" s="270">
        <f ca="1">IF(H30&gt;0,LOOKUP(L30,$R$24:$R$33,$S$24:$S$33),"")</f>
        <v>4</v>
      </c>
      <c r="N30" s="271" t="str">
        <f t="shared" ca="1" si="10"/>
        <v>D20+12</v>
      </c>
      <c r="O30" s="221"/>
      <c r="P30" s="221"/>
      <c r="Q30" s="221"/>
      <c r="R30" s="12" t="s">
        <v>1278</v>
      </c>
      <c r="S30" s="140">
        <f ca="1">F15</f>
        <v>-1</v>
      </c>
      <c r="T30" s="276">
        <f t="shared" ca="1" si="11"/>
        <v>12</v>
      </c>
      <c r="U30" s="276">
        <f t="shared" ca="1" si="8"/>
        <v>12</v>
      </c>
    </row>
    <row r="31" spans="1:38">
      <c r="A31" s="19" t="s">
        <v>1004</v>
      </c>
      <c r="B31" s="20"/>
      <c r="C31" s="119" t="s">
        <v>1208</v>
      </c>
      <c r="D31" s="119" t="s">
        <v>1280</v>
      </c>
      <c r="E31" s="119" t="s">
        <v>1279</v>
      </c>
      <c r="F31" s="21" t="s">
        <v>2262</v>
      </c>
      <c r="G31" s="15"/>
      <c r="H31" s="81" t="e">
        <f>A40</f>
        <v>#REF!</v>
      </c>
      <c r="I31" s="272"/>
      <c r="J31" s="272"/>
      <c r="K31" s="72" t="e">
        <f>IF(H31&lt;&gt;" ",LOOKUP($B$1,Critters!$A$2:$A$152,Critters!$AD$2:$AD$152),"")</f>
        <v>#REF!</v>
      </c>
      <c r="L31" s="46" t="e">
        <f>IF(H31&lt;&gt;" ",LOOKUP(H31,Skills!A2:A93,Skills!B2:B93),"")</f>
        <v>#REF!</v>
      </c>
      <c r="M31" s="270" t="e">
        <f t="shared" ref="M31:M37" si="12">IF(H31&lt;&gt;" ",LOOKUP(L31,$R$24:$R$33,$S$24:$S$33),"")</f>
        <v>#REF!</v>
      </c>
      <c r="N31" s="271" t="e">
        <f t="shared" si="10"/>
        <v>#REF!</v>
      </c>
      <c r="O31" s="221"/>
      <c r="P31" s="221"/>
      <c r="Q31" s="221"/>
      <c r="R31" s="12" t="s">
        <v>2071</v>
      </c>
      <c r="S31" s="140">
        <f ca="1">F6</f>
        <v>-5</v>
      </c>
      <c r="T31" s="276" t="e">
        <f t="shared" si="11"/>
        <v>#REF!</v>
      </c>
      <c r="U31" s="276" t="e">
        <f t="shared" si="8"/>
        <v>#REF!</v>
      </c>
    </row>
    <row r="32" spans="1:38">
      <c r="A32" s="29" t="str">
        <f>IF(B1&gt;0,LOOKUP(B1,Critters!A2:A159,Critters!X2:X159)," ")</f>
        <v>Bash</v>
      </c>
      <c r="B32" s="9"/>
      <c r="C32" s="47">
        <f>IF(A32&lt;&gt;" ",LOOKUP(A32,Melee!$A$2:$A$26,Melee!$C$2:$C$26),"")</f>
        <v>4</v>
      </c>
      <c r="D32" s="47">
        <f>IF(A32&lt;&gt;" ",LOOKUP(A32,Melee!$A$2:$A$26,Melee!$B$2:$B$26),"")</f>
        <v>4</v>
      </c>
      <c r="E32" s="47">
        <f t="shared" ref="E32:E37" ca="1" si="13">IF(A32&lt;&gt;" ",$F$6,"")</f>
        <v>-5</v>
      </c>
      <c r="F32" s="23" t="str">
        <f t="shared" ref="F32:F37" ca="1" si="14">IF(A32=" ","",IF(D32&lt;1,V54,X54))</f>
        <v>4D6-5</v>
      </c>
      <c r="G32" s="9"/>
      <c r="H32" s="81" t="str">
        <f>A41</f>
        <v xml:space="preserve"> </v>
      </c>
      <c r="I32" s="269"/>
      <c r="J32" s="269"/>
      <c r="K32" s="72" t="str">
        <f>IF(H32&lt;&gt;" ",LOOKUP($B$1,Critters!$A$2:$A$152,Critters!$AD$2:$AD$152),"")</f>
        <v/>
      </c>
      <c r="L32" s="46" t="str">
        <f>IF(H32&lt;&gt;" ",LOOKUP(H32,Skills!A2:A93,Skills!B2:B93),"")</f>
        <v/>
      </c>
      <c r="M32" s="270" t="str">
        <f t="shared" si="12"/>
        <v/>
      </c>
      <c r="N32" s="271" t="str">
        <f t="shared" si="10"/>
        <v/>
      </c>
      <c r="O32" s="221"/>
      <c r="P32" s="221"/>
      <c r="Q32" s="221"/>
      <c r="R32" s="12" t="s">
        <v>1954</v>
      </c>
      <c r="S32" s="140">
        <f ca="1">F9</f>
        <v>-2</v>
      </c>
      <c r="T32" s="276">
        <f t="shared" si="11"/>
        <v>0</v>
      </c>
      <c r="U32" s="276" t="str">
        <f t="shared" si="8"/>
        <v/>
      </c>
    </row>
    <row r="33" spans="1:33">
      <c r="A33" s="43" t="str">
        <f>IF(B1&gt;0,LOOKUP(B1,Critters!A2:A159,Critters!Y2:Y159)," ")</f>
        <v>Bite</v>
      </c>
      <c r="B33" s="13"/>
      <c r="C33" s="46">
        <f>IF(A33&lt;&gt;" ",LOOKUP(A33,Melee!$A$2:$A$26,Melee!$C$2:$C$26),"")</f>
        <v>2</v>
      </c>
      <c r="D33" s="46">
        <f>IF(A33&lt;&gt;" ",LOOKUP(A33,Melee!$A$2:$A$26,Melee!$B$2:$B$26),"")</f>
        <v>4</v>
      </c>
      <c r="E33" s="46">
        <f t="shared" ca="1" si="13"/>
        <v>-5</v>
      </c>
      <c r="F33" s="45" t="str">
        <f t="shared" ca="1" si="14"/>
        <v>4D6-5</v>
      </c>
      <c r="G33" s="12"/>
      <c r="H33" s="81" t="str">
        <f>IF(B1&lt;&gt;"",LOOKUP(B1,Critters!A2:A159,Critters!AN2:AN159),"")</f>
        <v xml:space="preserve"> </v>
      </c>
      <c r="I33" s="272"/>
      <c r="J33" s="272"/>
      <c r="K33" s="166" t="str">
        <f ca="1">IF(H33=" ","",IF(H33&lt;&gt;"",RANDBETWEEN(1,3)+RANDBETWEEN(1,3),""))</f>
        <v/>
      </c>
      <c r="L33" s="46" t="str">
        <f>IF(H33&lt;&gt;" ",LOOKUP(H33,Skills!A2:A93,Skills!B2:B93),"")</f>
        <v/>
      </c>
      <c r="M33" s="270" t="str">
        <f t="shared" si="12"/>
        <v/>
      </c>
      <c r="N33" s="271" t="str">
        <f t="shared" si="10"/>
        <v/>
      </c>
      <c r="O33" s="221"/>
      <c r="P33" s="221"/>
      <c r="Q33" s="221"/>
      <c r="R33" s="12" t="s">
        <v>709</v>
      </c>
      <c r="S33" s="140">
        <f ca="1">F13</f>
        <v>0</v>
      </c>
      <c r="T33" s="276">
        <f t="shared" si="11"/>
        <v>0</v>
      </c>
      <c r="U33" s="276" t="str">
        <f t="shared" si="8"/>
        <v/>
      </c>
    </row>
    <row r="34" spans="1:33">
      <c r="A34" s="236" t="str">
        <f>IF(B1&gt;0,LOOKUP(B1,Critters!A2:A159,Critters!Z2:Z159)," ")</f>
        <v xml:space="preserve"> </v>
      </c>
      <c r="B34" s="80"/>
      <c r="C34" s="234" t="str">
        <f>IF(A34&lt;&gt;" ",LOOKUP(A34,Melee!$A$2:$A$26,Melee!$C$2:$C$26),"")</f>
        <v/>
      </c>
      <c r="D34" s="234" t="str">
        <f>IF(A34&lt;&gt;" ",LOOKUP(A34,Melee!$A$2:$A$26,Melee!$B$2:$B$26),"")</f>
        <v/>
      </c>
      <c r="E34" s="234" t="str">
        <f t="shared" si="13"/>
        <v/>
      </c>
      <c r="F34" s="237" t="str">
        <f t="shared" si="14"/>
        <v/>
      </c>
      <c r="G34" s="12"/>
      <c r="H34" s="43" t="str">
        <f>IF(B1&lt;&gt;"",LOOKUP(B1,Critters!A2:A159,Critters!AP2:AP159),"")</f>
        <v xml:space="preserve"> </v>
      </c>
      <c r="I34" s="269"/>
      <c r="J34" s="269"/>
      <c r="K34" s="166" t="str">
        <f ca="1">IF(H34&lt;&gt;" ",RANDBETWEEN(1,3)+RANDBETWEEN(1,3),"")</f>
        <v/>
      </c>
      <c r="L34" s="46" t="str">
        <f>IF(H34&lt;&gt;" ",LOOKUP(H34,Skills!A3:A94,Skills!B3:B94),"")</f>
        <v/>
      </c>
      <c r="M34" s="270" t="str">
        <f t="shared" si="12"/>
        <v/>
      </c>
      <c r="N34" s="271" t="str">
        <f t="shared" si="10"/>
        <v/>
      </c>
      <c r="O34" s="221"/>
      <c r="P34" s="221"/>
      <c r="Q34" s="221"/>
      <c r="R34" s="12"/>
      <c r="S34" s="140"/>
      <c r="T34" s="276">
        <f t="shared" si="11"/>
        <v>0</v>
      </c>
      <c r="U34" s="276" t="str">
        <f t="shared" si="8"/>
        <v/>
      </c>
    </row>
    <row r="35" spans="1:33">
      <c r="A35" s="43" t="str">
        <f>IF(B1&gt;0,LOOKUP(B1,Critters!A2:A159,Critters!AA2:AA159)," ")</f>
        <v xml:space="preserve"> </v>
      </c>
      <c r="B35" s="13"/>
      <c r="C35" s="46" t="str">
        <f>IF(A35&lt;&gt;" ",LOOKUP(A35,Melee!$A$2:$A$26,Melee!$C$2:$C$26),"")</f>
        <v/>
      </c>
      <c r="D35" s="46" t="str">
        <f>IF(A35&lt;&gt;" ",LOOKUP(A35,Melee!$A$2:$A$26,Melee!$B$2:$B$26),"")</f>
        <v/>
      </c>
      <c r="E35" s="46" t="str">
        <f t="shared" si="13"/>
        <v/>
      </c>
      <c r="F35" s="45" t="str">
        <f t="shared" si="14"/>
        <v/>
      </c>
      <c r="G35" s="12"/>
      <c r="H35" s="81" t="str">
        <f>IF(B1&lt;&gt;"",LOOKUP(B1,Critters!A2:A159,Critters!AR2:AR159),"")</f>
        <v xml:space="preserve"> </v>
      </c>
      <c r="I35" s="272"/>
      <c r="J35" s="272"/>
      <c r="K35" s="166" t="str">
        <f ca="1">IF(H35&lt;&gt;" ",RANDBETWEEN(1,3)+RANDBETWEEN(1,3),"")</f>
        <v/>
      </c>
      <c r="L35" s="46" t="str">
        <f>IF(H35&lt;&gt;" ",LOOKUP(H35,Skills!A4:A95,Skills!B4:B95),"")</f>
        <v/>
      </c>
      <c r="M35" s="270" t="str">
        <f t="shared" si="12"/>
        <v/>
      </c>
      <c r="N35" s="271" t="str">
        <f t="shared" si="10"/>
        <v/>
      </c>
      <c r="O35" s="221"/>
      <c r="P35" s="221"/>
      <c r="Q35" s="221"/>
      <c r="R35" s="12"/>
      <c r="S35" s="140"/>
      <c r="T35" s="276">
        <f t="shared" si="11"/>
        <v>0</v>
      </c>
      <c r="U35" s="276" t="str">
        <f t="shared" si="8"/>
        <v/>
      </c>
    </row>
    <row r="36" spans="1:33">
      <c r="A36" s="236" t="str">
        <f>IF(B1&gt;0,LOOKUP(B1,Critters!A2:A159,Critters!AB2:AB159)," ")</f>
        <v xml:space="preserve"> </v>
      </c>
      <c r="B36" s="235"/>
      <c r="C36" s="234" t="str">
        <f>IF(A36&lt;&gt;" ",LOOKUP(A36,Melee!$A$2:$A$26,Melee!$C$2:$C$26),"")</f>
        <v/>
      </c>
      <c r="D36" s="234" t="str">
        <f>IF(A36&lt;&gt;" ",LOOKUP(A36,Melee!$A$2:$A$26,Melee!$B$2:$B$26),"")</f>
        <v/>
      </c>
      <c r="E36" s="234" t="str">
        <f t="shared" si="13"/>
        <v/>
      </c>
      <c r="F36" s="237" t="str">
        <f t="shared" si="14"/>
        <v/>
      </c>
      <c r="G36" s="12"/>
      <c r="H36" s="43" t="str">
        <f>IF(B1&lt;&gt;"",LOOKUP(B1,Critters!A2:A159,Critters!AT2:AT159),"")</f>
        <v xml:space="preserve"> </v>
      </c>
      <c r="I36" s="269"/>
      <c r="J36" s="269"/>
      <c r="K36" s="166" t="str">
        <f ca="1">IF(H36&lt;&gt;" ",RANDBETWEEN(1,3)+RANDBETWEEN(1,3),"")</f>
        <v/>
      </c>
      <c r="L36" s="46" t="str">
        <f>IF(H36&lt;&gt;" ",LOOKUP(H36,Skills!A5:A96,Skills!B5:B96),"")</f>
        <v/>
      </c>
      <c r="M36" s="270" t="str">
        <f t="shared" si="12"/>
        <v/>
      </c>
      <c r="N36" s="271" t="str">
        <f t="shared" si="10"/>
        <v/>
      </c>
      <c r="O36" s="221"/>
      <c r="P36" s="221"/>
      <c r="Q36" s="221"/>
      <c r="R36" s="12"/>
      <c r="S36" s="140"/>
      <c r="T36" s="276">
        <f t="shared" si="11"/>
        <v>0</v>
      </c>
      <c r="U36" s="276" t="str">
        <f t="shared" si="8"/>
        <v/>
      </c>
    </row>
    <row r="37" spans="1:33" ht="14" thickBot="1">
      <c r="A37" s="30" t="str">
        <f>IF(B1&gt;0,LOOKUP(B1,Critters!A2:A159,Critters!AC2:AC159)," ")</f>
        <v xml:space="preserve"> </v>
      </c>
      <c r="B37" s="31"/>
      <c r="C37" s="48" t="str">
        <f>IF(A37&lt;&gt;" ",LOOKUP(A37,Melee!$A$2:$A$26,Melee!$C$2:$C$26),"")</f>
        <v/>
      </c>
      <c r="D37" s="48" t="str">
        <f>IF(A37&lt;&gt;" ",LOOKUP(A37,Melee!$A$2:$A$26,Melee!$B$2:$B$26),"")</f>
        <v/>
      </c>
      <c r="E37" s="48" t="str">
        <f t="shared" si="13"/>
        <v/>
      </c>
      <c r="F37" s="26" t="str">
        <f t="shared" si="14"/>
        <v/>
      </c>
      <c r="G37" s="12"/>
      <c r="H37" s="30" t="str">
        <f>IF(B1&lt;&gt;"",LOOKUP(B1,Critters!A2:A159,Critters!AV2:AV159),"")</f>
        <v xml:space="preserve"> </v>
      </c>
      <c r="I37" s="273"/>
      <c r="J37" s="273"/>
      <c r="K37" s="230" t="str">
        <f ca="1">IF(H37&lt;&gt;" ",RANDBETWEEN(1,3)+RANDBETWEEN(1,3),"")</f>
        <v/>
      </c>
      <c r="L37" s="48" t="str">
        <f>IF(H37&lt;&gt;" ",LOOKUP(H37,Skills!A6:A97,Skills!B6:B97),"")</f>
        <v/>
      </c>
      <c r="M37" s="274" t="str">
        <f t="shared" si="12"/>
        <v/>
      </c>
      <c r="N37" s="275" t="str">
        <f t="shared" si="10"/>
        <v/>
      </c>
      <c r="O37" s="221"/>
      <c r="P37" s="221"/>
      <c r="Q37" s="221"/>
      <c r="R37" s="12"/>
      <c r="S37" s="140"/>
      <c r="T37" s="276">
        <f t="shared" si="11"/>
        <v>0</v>
      </c>
      <c r="U37" s="276" t="str">
        <f t="shared" si="8"/>
        <v/>
      </c>
    </row>
    <row r="38" spans="1:33" ht="14" thickBot="1">
      <c r="A38" s="29"/>
      <c r="B38" s="12"/>
      <c r="C38" s="12"/>
      <c r="D38" s="12"/>
      <c r="E38" s="74"/>
      <c r="F38" s="12"/>
      <c r="G38" s="2"/>
      <c r="H38" s="2"/>
      <c r="I38" s="2"/>
      <c r="J38" s="2"/>
      <c r="K38" s="118"/>
      <c r="L38" s="118"/>
      <c r="M38" s="118"/>
      <c r="N38" s="155"/>
    </row>
    <row r="39" spans="1:33">
      <c r="A39" s="32" t="s">
        <v>1240</v>
      </c>
      <c r="B39" s="102"/>
      <c r="C39" s="102" t="s">
        <v>1279</v>
      </c>
      <c r="D39" s="103" t="s">
        <v>1263</v>
      </c>
      <c r="E39" s="104" t="s">
        <v>2262</v>
      </c>
      <c r="F39" s="102" t="s">
        <v>1617</v>
      </c>
      <c r="G39" s="102"/>
      <c r="H39" s="102" t="s">
        <v>2262</v>
      </c>
      <c r="I39" s="103" t="s">
        <v>2307</v>
      </c>
      <c r="J39" s="104" t="s">
        <v>2262</v>
      </c>
      <c r="K39" s="292" t="s">
        <v>2261</v>
      </c>
      <c r="L39" s="292" t="s">
        <v>2262</v>
      </c>
      <c r="M39" s="105" t="s">
        <v>2308</v>
      </c>
      <c r="N39" s="108" t="s">
        <v>2262</v>
      </c>
      <c r="R39" s="32" t="s">
        <v>711</v>
      </c>
      <c r="S39" s="102" t="s">
        <v>1281</v>
      </c>
      <c r="T39" s="102" t="s">
        <v>1279</v>
      </c>
      <c r="U39" s="103" t="s">
        <v>1263</v>
      </c>
      <c r="V39" s="104" t="s">
        <v>2262</v>
      </c>
      <c r="W39" s="102" t="s">
        <v>1617</v>
      </c>
      <c r="X39" s="102"/>
      <c r="Y39" s="102" t="s">
        <v>2262</v>
      </c>
      <c r="Z39" s="103" t="s">
        <v>2307</v>
      </c>
      <c r="AA39" s="104" t="s">
        <v>2262</v>
      </c>
      <c r="AB39" s="102" t="s">
        <v>2261</v>
      </c>
      <c r="AC39" s="102" t="s">
        <v>2262</v>
      </c>
      <c r="AD39" s="103" t="s">
        <v>2308</v>
      </c>
      <c r="AE39" s="252" t="s">
        <v>2262</v>
      </c>
    </row>
    <row r="40" spans="1:33">
      <c r="A40" s="29" t="e">
        <f>IF(B1&gt;0,LOOKUP(B1,Critters!A2:A159,Critters!#REF!)," ")</f>
        <v>#REF!</v>
      </c>
      <c r="B40" s="12" t="e">
        <f>S40</f>
        <v>#REF!</v>
      </c>
      <c r="C40" s="74" t="e">
        <f>IF(A40=" ","",IF(T40="Yes",F6,0))</f>
        <v>#REF!</v>
      </c>
      <c r="D40" s="58" t="e">
        <f>U40</f>
        <v>#REF!</v>
      </c>
      <c r="E40" s="56" t="e">
        <f>IF($A$40=" ","",IF($C$40=0,V40&amp;$R$21,V40&amp;$S$21&amp;$C$40))</f>
        <v>#REF!</v>
      </c>
      <c r="F40" s="293" t="e">
        <f>W40</f>
        <v>#REF!</v>
      </c>
      <c r="G40" s="293"/>
      <c r="H40" s="16" t="e">
        <f>IF($A$40=" ","",IF($C$40=0,Y40&amp;$R$21,Y40&amp;$S$21&amp;$C$40))</f>
        <v>#REF!</v>
      </c>
      <c r="I40" s="58" t="e">
        <f>Z40</f>
        <v>#REF!</v>
      </c>
      <c r="J40" s="56" t="e">
        <f>IF($A$40=" ","",IF($C$40=0,AA40&amp;$R$21,AA40&amp;$S$21&amp;$C$40))</f>
        <v>#REF!</v>
      </c>
      <c r="K40" s="293" t="e">
        <f>AB40</f>
        <v>#REF!</v>
      </c>
      <c r="L40" s="16" t="e">
        <f>IF($A$40=" ","",IF($C$40=0,AF40&amp;$R$21,AF40&amp;$S$21&amp;$C$40))</f>
        <v>#REF!</v>
      </c>
      <c r="M40" s="58" t="e">
        <f>AD40</f>
        <v>#REF!</v>
      </c>
      <c r="N40" s="59" t="e">
        <f>IF($A$40=" ","",IF($C$40=0,AG40&amp;$R$21,AG40&amp;$S$21&amp;$C$40))</f>
        <v>#REF!</v>
      </c>
      <c r="R40" s="29" t="e">
        <f>A40</f>
        <v>#REF!</v>
      </c>
      <c r="S40" s="12" t="e">
        <f>IF(A40&lt;&gt;" ",LOOKUP(A40,Distance!A2:A17,Distance!D2:D17),"")</f>
        <v>#REF!</v>
      </c>
      <c r="T40" s="74" t="e">
        <f>IF(A40&lt;&gt;" ",LOOKUP(A40,Distance!$A$2:$A$17,Distance!$J$2:$J$17),"")</f>
        <v>#REF!</v>
      </c>
      <c r="U40" s="58" t="e">
        <f>IF(A40&lt;&gt;" ",LOOKUP(A40,Distance!A2:A17,Distance!E2:E17),"")</f>
        <v>#REF!</v>
      </c>
      <c r="V40" s="56" t="e">
        <f>IF(A40&lt;&gt;" ",Y40+1,"")</f>
        <v>#REF!</v>
      </c>
      <c r="W40" s="293" t="e">
        <f>IF(A40&lt;&gt;" ",LOOKUP(A40,Distance!A2:A17,Distance!F2:F17),"")</f>
        <v>#REF!</v>
      </c>
      <c r="X40" s="293"/>
      <c r="Y40" s="16" t="e">
        <f>IF(A40&lt;&gt;" ",LOOKUP(A40,Distance!A2:A17,Distance!C2:C17),"")</f>
        <v>#REF!</v>
      </c>
      <c r="Z40" s="58" t="e">
        <f>IF(A40&lt;&gt;" ",LOOKUP(A40,Distance!A2:A17,Distance!G2:G17),"")</f>
        <v>#REF!</v>
      </c>
      <c r="AA40" s="56" t="e">
        <f>Y40</f>
        <v>#REF!</v>
      </c>
      <c r="AB40" s="293" t="e">
        <f>IF(A40&lt;&gt;" ",LOOKUP(A40,Distance!A2:A17,Distance!H2:H17),"")</f>
        <v>#REF!</v>
      </c>
      <c r="AC40" s="16" t="e">
        <f>IF(A40&lt;&gt;" ",Y40*0.75,"")</f>
        <v>#REF!</v>
      </c>
      <c r="AD40" s="58" t="e">
        <f>IF(A40&lt;&gt;" ",LOOKUP(A40,Distance!A2:A17,Distance!I2:I17),"")</f>
        <v>#REF!</v>
      </c>
      <c r="AE40" s="59" t="e">
        <f>IF(A40&lt;&gt;" ",Y40*0.5,"")</f>
        <v>#REF!</v>
      </c>
      <c r="AF40" t="e">
        <f>IF(AC40="","",FIXED(AC40,0))</f>
        <v>#REF!</v>
      </c>
      <c r="AG40" t="e">
        <f>IF(AE40="","",FIXED(AE40,0))</f>
        <v>#REF!</v>
      </c>
    </row>
    <row r="41" spans="1:33" ht="14" thickBot="1">
      <c r="A41" s="30" t="str">
        <f>IF(B1&gt;0,LOOKUP(B1,Critters!A2:A159,Critters!AF2:AF159)," ")</f>
        <v xml:space="preserve"> </v>
      </c>
      <c r="B41" s="13" t="str">
        <f>S41</f>
        <v/>
      </c>
      <c r="C41" s="72" t="str">
        <f>IF(A41=" ","",IF(T41="Yes",#REF!,0))</f>
        <v/>
      </c>
      <c r="D41" s="60" t="str">
        <f>U41</f>
        <v/>
      </c>
      <c r="E41" s="61" t="str">
        <f>IF($A$41=" ","",IF($C$41=0,V41&amp;$R$21,V41&amp;$S$21&amp;$C$41))</f>
        <v/>
      </c>
      <c r="F41" s="295" t="str">
        <f>W41</f>
        <v/>
      </c>
      <c r="G41" s="295"/>
      <c r="H41" s="288" t="str">
        <f>IF($A$41=" ","",IF($C$41=0,Y41&amp;$R$21,Y41&amp;$S$21&amp;$C$41))</f>
        <v/>
      </c>
      <c r="I41" s="62" t="str">
        <f>Z41</f>
        <v/>
      </c>
      <c r="J41" s="61" t="str">
        <f>IF($A$41=" ","",IF($C$41=0,AA41&amp;$R$21,AA41&amp;$S$21&amp;$C$41))</f>
        <v/>
      </c>
      <c r="K41" s="288" t="str">
        <f>AB41</f>
        <v/>
      </c>
      <c r="L41" s="288" t="str">
        <f>IF($A$41=" ","",IF($C$41=0,AF41&amp;$R$21,AF41&amp;$S$21&amp;$C$41))</f>
        <v/>
      </c>
      <c r="M41" s="60" t="str">
        <f>AD41</f>
        <v/>
      </c>
      <c r="N41" s="253" t="str">
        <f>IF($A$41=" ","",IF($C$41=0,AG41&amp;$R$21,AG41&amp;$S$21&amp;$C$41))</f>
        <v/>
      </c>
      <c r="R41" s="43" t="str">
        <f>A41</f>
        <v xml:space="preserve"> </v>
      </c>
      <c r="S41" s="13" t="str">
        <f>IF(A41&lt;&gt;" ",LOOKUP(A41,Distance!A2:A17,Distance!D2:D17),"")</f>
        <v/>
      </c>
      <c r="T41" s="72" t="str">
        <f>IF(A41&lt;&gt;" ",LOOKUP(A41,Distance!$A$2:$A$17,Distance!$J$2:$J$17),"")</f>
        <v/>
      </c>
      <c r="U41" s="60" t="str">
        <f>IF(A41&lt;&gt;" ",LOOKUP(A41,Distance!A2:A17,Distance!E2:E17),"")</f>
        <v/>
      </c>
      <c r="V41" s="61" t="str">
        <f>IF(A41&lt;&gt;" ",Y41+1,"")</f>
        <v/>
      </c>
      <c r="W41" s="295" t="str">
        <f>IF(A41&lt;&gt;" ",LOOKUP(A41,Distance!A2:A17,Distance!F2:F17),"")</f>
        <v/>
      </c>
      <c r="X41" s="295"/>
      <c r="Y41" s="288" t="str">
        <f>IF(A41&lt;&gt;" ",LOOKUP(A41,Distance!A2:A17,Distance!C2:C17),"")</f>
        <v/>
      </c>
      <c r="Z41" s="62" t="str">
        <f>IF(A41&lt;&gt;" ",LOOKUP(A41,Distance!A2:A17,Distance!G2:G17),"")</f>
        <v/>
      </c>
      <c r="AA41" s="61" t="str">
        <f>Y41</f>
        <v/>
      </c>
      <c r="AB41" s="288" t="str">
        <f>IF(A41&lt;&gt;" ",LOOKUP(A41,Distance!A2:A17,Distance!H2:H17),"")</f>
        <v/>
      </c>
      <c r="AC41" s="61" t="str">
        <f>IF(A41&lt;&gt;" ",Y41*0.75,"")</f>
        <v/>
      </c>
      <c r="AD41" s="60" t="str">
        <f>IF(A41&lt;&gt;" ",LOOKUP(A41,Distance!A2:A17,Distance!I2:I17),"")</f>
        <v/>
      </c>
      <c r="AE41" s="253" t="str">
        <f>IF(A41&lt;&gt;" ",Y41*0.5,"")</f>
        <v/>
      </c>
      <c r="AF41" t="str">
        <f>IF(AC41="","",FIXED(AC41,0))</f>
        <v/>
      </c>
      <c r="AG41" t="str">
        <f>IF(AE41="","",FIXED(AE41,0))</f>
        <v/>
      </c>
    </row>
    <row r="42" spans="1:33" ht="14" thickBot="1">
      <c r="A42" s="210"/>
      <c r="B42" s="132"/>
      <c r="C42" s="211"/>
      <c r="D42" s="67"/>
      <c r="E42" s="67"/>
      <c r="F42" s="67"/>
      <c r="G42" s="67"/>
      <c r="H42" s="67"/>
      <c r="I42" s="67"/>
      <c r="J42" s="113"/>
      <c r="K42" s="67"/>
      <c r="L42" s="67"/>
      <c r="M42" s="67"/>
      <c r="N42" s="169"/>
    </row>
    <row r="43" spans="1:33">
      <c r="A43" s="32" t="s">
        <v>1513</v>
      </c>
      <c r="B43" s="104" t="s">
        <v>1243</v>
      </c>
      <c r="C43" s="105" t="s">
        <v>1916</v>
      </c>
      <c r="D43" s="106" t="s">
        <v>2370</v>
      </c>
      <c r="E43" s="105" t="s">
        <v>1662</v>
      </c>
      <c r="F43" s="292" t="s">
        <v>1663</v>
      </c>
      <c r="G43" s="106"/>
      <c r="H43" s="105" t="s">
        <v>1689</v>
      </c>
      <c r="I43" s="106" t="s">
        <v>1791</v>
      </c>
      <c r="J43" s="105" t="s">
        <v>2102</v>
      </c>
      <c r="K43" s="208"/>
      <c r="L43" s="292"/>
      <c r="M43" s="292"/>
      <c r="N43" s="108"/>
    </row>
    <row r="44" spans="1:33">
      <c r="A44" s="33" t="str">
        <f>IF(B1&gt;0,LOOKUP(B1,Critters!A2:A159,Critters!AG2:AG159),"")</f>
        <v xml:space="preserve"> </v>
      </c>
      <c r="B44" s="209" t="str">
        <f>IF(A44&lt;&gt;" ",LOOKUP(A44,SpecialAttacks!$A$2:$A$47,SpecialAttacks!$V$2:$V$47),"")</f>
        <v/>
      </c>
      <c r="C44" s="58" t="str">
        <f>IF(A44&lt;&gt;" ",LOOKUP(A44,SpecialAttacks!$A$2:$A$47,SpecialAttacks!$N$2:$N$47),"")</f>
        <v/>
      </c>
      <c r="D44" s="56" t="str">
        <f>IF(A44&lt;&gt;" ",LOOKUP(A44,SpecialAttacks!$A$2:$A$47,SpecialAttacks!$Q$2:$Q$47),"")</f>
        <v/>
      </c>
      <c r="E44" s="58" t="str">
        <f>IF(A44&lt;&gt;" ",LOOKUP(A44,SpecialAttacks!$A$2:$A$47,SpecialAttacks!$P$2:$P$47),"")</f>
        <v/>
      </c>
      <c r="F44" s="293" t="str">
        <f>IF(A44&lt;&gt;" ",LOOKUP(A44,SpecialAttacks!$A$2:$A$47,SpecialAttacks!$R$2:$R$47),"")</f>
        <v/>
      </c>
      <c r="G44" s="296"/>
      <c r="H44" s="58" t="str">
        <f>IF(A44&lt;&gt;" ",LOOKUP(A44,SpecialAttacks!$A$2:$A$47,SpecialAttacks!$W$2:$W$47),"")</f>
        <v/>
      </c>
      <c r="I44" s="56" t="str">
        <f>IF(A44&lt;&gt;" ",LOOKUP(A44,SpecialAttacks!$A$2:$A$47,SpecialAttacks!$X$2:$X$47),"")</f>
        <v/>
      </c>
      <c r="J44" s="214" t="str">
        <f>IF(A44&lt;&gt;" ",LOOKUP(A44,SpecialAttacks!$A$2:$A$47,SpecialAttacks!$Y$2:$Y$47),"")</f>
        <v/>
      </c>
      <c r="K44" s="212"/>
      <c r="L44" s="171"/>
      <c r="M44" s="171"/>
      <c r="N44" s="216"/>
    </row>
    <row r="45" spans="1:33">
      <c r="A45" s="44" t="str">
        <f>IF(B1&gt;0,LOOKUP(B1,Critters!A2:A159,Critters!AH2:AH159),"")</f>
        <v xml:space="preserve"> </v>
      </c>
      <c r="B45" s="202" t="str">
        <f>IF(A45&lt;&gt;" ",LOOKUP(A45,SpecialAttacks!A2:A47,SpecialAttacks!V2:V47),"")</f>
        <v/>
      </c>
      <c r="C45" s="62" t="str">
        <f>IF(A45&lt;&gt;" ",LOOKUP(A45,SpecialAttacks!A2:A47,SpecialAttacks!N2:N47),"")</f>
        <v/>
      </c>
      <c r="D45" s="61" t="str">
        <f>IF(A45&lt;&gt;" ",LOOKUP(A45,SpecialAttacks!A2:A47,SpecialAttacks!Q2:Q47),"")</f>
        <v/>
      </c>
      <c r="E45" s="62" t="str">
        <f>IF(A45&lt;&gt;" ",LOOKUP(A45,SpecialAttacks!A2:A47,SpecialAttacks!P2:P47),"")</f>
        <v/>
      </c>
      <c r="F45" s="295" t="str">
        <f>IF(A45&lt;&gt;" ",LOOKUP(A45,SpecialAttacks!A2:A47,SpecialAttacks!R2:R47),"")</f>
        <v/>
      </c>
      <c r="G45" s="226"/>
      <c r="H45" s="62" t="str">
        <f>IF(A45&lt;&gt;" ",LOOKUP(A45,SpecialAttacks!A2:A47,SpecialAttacks!W2:W47),"")</f>
        <v/>
      </c>
      <c r="I45" s="61" t="str">
        <f>IF(A45&lt;&gt;" ",LOOKUP(A45,SpecialAttacks!A2:A47,SpecialAttacks!X2:X47),"")</f>
        <v/>
      </c>
      <c r="J45" s="215" t="str">
        <f>IF(A45&lt;&gt;" ",LOOKUP(A45,SpecialAttacks!A2:A47,SpecialAttacks!Y2:Y47),"")</f>
        <v/>
      </c>
      <c r="K45" s="213"/>
      <c r="L45" s="116"/>
      <c r="M45" s="116"/>
      <c r="N45" s="217"/>
    </row>
    <row r="46" spans="1:33">
      <c r="A46" s="206" t="str">
        <f>IF(B1&gt;0,LOOKUP(B1,Critters!A2:A159,Critters!AI2:AI159),"")</f>
        <v xml:space="preserve"> </v>
      </c>
      <c r="B46" s="201" t="str">
        <f>IF(A46&lt;&gt;" ",LOOKUP(A46,SpecialAttacks!A2:A47,SpecialAttacks!V2:V47),"")</f>
        <v/>
      </c>
      <c r="C46" s="203" t="str">
        <f>IF(A46&lt;&gt;" ",LOOKUP(A46,SpecialAttacks!A2:A47,SpecialAttacks!N2:N47),"")</f>
        <v/>
      </c>
      <c r="D46" s="204" t="str">
        <f>IF(A46&lt;&gt;" ",LOOKUP(A46,SpecialAttacks!A2:A47,SpecialAttacks!Q2:Q47),"")</f>
        <v/>
      </c>
      <c r="E46" s="203" t="str">
        <f>IF(A46&lt;&gt;" ",LOOKUP(A46,SpecialAttacks!A2:A47,SpecialAttacks!P2:P47),"")</f>
        <v/>
      </c>
      <c r="F46" s="289" t="str">
        <f>IF(A46&lt;&gt;" ",LOOKUP(A46,SpecialAttacks!A2:A47,SpecialAttacks!R2:R47),"")</f>
        <v/>
      </c>
      <c r="G46" s="204"/>
      <c r="H46" s="203" t="str">
        <f>IF(A46&lt;&gt;" ",LOOKUP(A46,SpecialAttacks!A2:A47,SpecialAttacks!W2:W47),"")</f>
        <v/>
      </c>
      <c r="I46" s="204" t="str">
        <f>IF(A46&lt;&gt;" ",LOOKUP(A46,SpecialAttacks!A2:A47,SpecialAttacks!X2:X47),"")</f>
        <v/>
      </c>
      <c r="J46" s="196" t="str">
        <f>IF(A46&lt;&gt;" ",LOOKUP(A46,SpecialAttacks!A2:A47,SpecialAttacks!Y2:Y47),"")</f>
        <v/>
      </c>
      <c r="K46" s="111"/>
      <c r="L46" s="197"/>
      <c r="M46" s="197"/>
      <c r="N46" s="198"/>
    </row>
    <row r="47" spans="1:33">
      <c r="A47" s="44" t="str">
        <f>IF(B1&gt;0,LOOKUP(B1,Critters!A2:A159,Critters!AJ2:AJ159),"")</f>
        <v xml:space="preserve"> </v>
      </c>
      <c r="B47" s="202" t="str">
        <f>IF(A47&lt;&gt;" ",LOOKUP(A47,SpecialAttacks!A2:A47,SpecialAttacks!V2:V47),"")</f>
        <v/>
      </c>
      <c r="C47" s="60" t="str">
        <f>IF(A47&lt;&gt;" ",LOOKUP(A47,SpecialAttacks!A2:A47,SpecialAttacks!N2:N47),"")</f>
        <v/>
      </c>
      <c r="D47" s="61" t="str">
        <f>IF(A47&lt;&gt;" ",LOOKUP(A47,SpecialAttacks!A2:A47,SpecialAttacks!Q2:Q47),"")</f>
        <v/>
      </c>
      <c r="E47" s="60" t="str">
        <f>IF(A47&lt;&gt;" ",LOOKUP(A47,SpecialAttacks!A2:A47,SpecialAttacks!P2:P47),"")</f>
        <v/>
      </c>
      <c r="F47" s="288" t="str">
        <f>IF(A47&lt;&gt;" ",LOOKUP(A47,SpecialAttacks!A2:A47,SpecialAttacks!R2:R47),"")</f>
        <v/>
      </c>
      <c r="G47" s="61"/>
      <c r="H47" s="60" t="str">
        <f>IF(A47&lt;&gt;" ",LOOKUP(A47,SpecialAttacks!A2:A47,SpecialAttacks!W2:W47),"")</f>
        <v/>
      </c>
      <c r="I47" s="61" t="str">
        <f>IF(A47&lt;&gt;" ",LOOKUP(A47,SpecialAttacks!A2:A47,SpecialAttacks!X2:X47),"")</f>
        <v/>
      </c>
      <c r="J47" s="205" t="str">
        <f>IF(A47&lt;&gt;" ",LOOKUP(A47,SpecialAttacks!A2:A47,SpecialAttacks!Y2:Y47),"")</f>
        <v/>
      </c>
      <c r="K47" s="110"/>
      <c r="L47" s="116"/>
      <c r="M47" s="116"/>
      <c r="N47" s="217"/>
    </row>
    <row r="48" spans="1:33">
      <c r="A48" s="206" t="str">
        <f>IF(B1&gt;0,LOOKUP(B1,Critters!A2:A159,Critters!AK2:AK159),"")</f>
        <v xml:space="preserve"> </v>
      </c>
      <c r="B48" s="201" t="str">
        <f>IF(A48&lt;&gt;" ",LOOKUP(A48,SpecialAttacks!A51:A60,SpecialAttacks!B51:B60),"")</f>
        <v/>
      </c>
      <c r="C48" s="203" t="str">
        <f>IF(A48&lt;&gt;" ",LOOKUP(A48,SpecialAttacks!A51:A60,SpecialAttacks!C51:C60),"")</f>
        <v/>
      </c>
      <c r="D48" s="204" t="str">
        <f>IF(A48&lt;&gt;" ",LOOKUP(A48,SpecialAttacks!A51:A60,SpecialAttacks!D51:D60),"")</f>
        <v/>
      </c>
      <c r="E48" s="203" t="str">
        <f>IF(A48&lt;&gt;" ",LOOKUP(A48,SpecialAttacks!A51:A60,SpecialAttacks!E51:E60),"")</f>
        <v/>
      </c>
      <c r="F48" s="289" t="str">
        <f>IF(A48&lt;&gt;" ",LOOKUP(A48,SpecialAttacks!A51:A60,SpecialAttacks!F51:F60),"")</f>
        <v/>
      </c>
      <c r="G48" s="204"/>
      <c r="H48" s="203" t="str">
        <f>IF(A48&lt;&gt;" ",LOOKUP(A48,SpecialAttacks!A51:A60,SpecialAttacks!G51:G60),"")</f>
        <v/>
      </c>
      <c r="I48" s="204" t="str">
        <f>IF(A48&lt;&gt;" ",LOOKUP(A48,SpecialAttacks!A51:A60,SpecialAttacks!H51:H60),"")</f>
        <v/>
      </c>
      <c r="J48" s="196" t="str">
        <f>IF(A48&lt;&gt;" ",LOOKUP(A48,SpecialAttacks!A51:A60,SpecialAttacks!I51:I60),"")</f>
        <v/>
      </c>
      <c r="K48" s="111"/>
      <c r="L48" s="197"/>
      <c r="M48" s="197"/>
      <c r="N48" s="198"/>
    </row>
    <row r="49" spans="1:24" ht="14" thickBot="1">
      <c r="A49" s="34" t="str">
        <f>IF(B1&gt;0,LOOKUP(B1,Critters!A2:A159,Critters!AL2:AL159),"")</f>
        <v xml:space="preserve"> </v>
      </c>
      <c r="B49" s="207" t="str">
        <f>IF(A49&lt;&gt;" ",LOOKUP(A49,SpecialAttacks!A51:A60,SpecialAttacks!B51:B60),"")</f>
        <v/>
      </c>
      <c r="C49" s="63" t="str">
        <f>IF(A49&lt;&gt;" ",LOOKUP(A49,SpecialAttacks!A51:A60,SpecialAttacks!C51:C60),"")</f>
        <v/>
      </c>
      <c r="D49" s="64" t="str">
        <f>IF(A49&lt;&gt;" ",LOOKUP(A49,SpecialAttacks!A51:A60,SpecialAttacks!D51:D60),"")</f>
        <v/>
      </c>
      <c r="E49" s="63" t="str">
        <f>IF(A49&lt;&gt;" ",LOOKUP(A49,SpecialAttacks!A51:A60,SpecialAttacks!E51:E60),"")</f>
        <v/>
      </c>
      <c r="F49" s="291" t="str">
        <f>IF(A49&lt;&gt;" ",LOOKUP(A49,SpecialAttacks!A51:A60,SpecialAttacks!F51:F60),"")</f>
        <v/>
      </c>
      <c r="G49" s="64"/>
      <c r="H49" s="63" t="str">
        <f>IF(A49&lt;&gt;" ",LOOKUP(A49,SpecialAttacks!A51:A60,SpecialAttacks!G51:G60),"")</f>
        <v/>
      </c>
      <c r="I49" s="64" t="str">
        <f>IF(A49&lt;&gt;" ",LOOKUP(A49,SpecialAttacks!A51:A60,SpecialAttacks!H51:H60),"")</f>
        <v/>
      </c>
      <c r="J49" s="199" t="str">
        <f>IF(A49&lt;&gt;" ",LOOKUP(A49,SpecialAttacks!A51:A60,SpecialAttacks!I51:I60),"")</f>
        <v/>
      </c>
      <c r="K49" s="112"/>
      <c r="L49" s="117"/>
      <c r="M49" s="117"/>
      <c r="N49" s="200"/>
    </row>
    <row r="50" spans="1:24">
      <c r="A50" s="32" t="s">
        <v>2163</v>
      </c>
      <c r="B50" s="287" t="e">
        <f>IF(B1&gt;0,LOOKUP(B1,Critters!A2:A159,Critters!#REF!),"")</f>
        <v>#REF!</v>
      </c>
      <c r="C50" s="287"/>
      <c r="D50" s="287"/>
      <c r="E50" s="287"/>
      <c r="F50" s="287"/>
      <c r="G50" s="287"/>
      <c r="H50" s="287"/>
      <c r="I50" s="287"/>
      <c r="J50" s="287"/>
      <c r="K50" s="287"/>
      <c r="L50" s="287"/>
      <c r="M50" s="287"/>
      <c r="N50" s="297"/>
    </row>
    <row r="51" spans="1:24" ht="14" thickBot="1">
      <c r="A51" s="34"/>
      <c r="B51" s="298"/>
      <c r="C51" s="298"/>
      <c r="D51" s="298"/>
      <c r="E51" s="298"/>
      <c r="F51" s="298"/>
      <c r="G51" s="298"/>
      <c r="H51" s="298"/>
      <c r="I51" s="298"/>
      <c r="J51" s="298"/>
      <c r="K51" s="298"/>
      <c r="L51" s="298"/>
      <c r="M51" s="298"/>
      <c r="N51" s="299"/>
    </row>
    <row r="52" spans="1:24">
      <c r="J52" s="221"/>
    </row>
    <row r="53" spans="1:24">
      <c r="R53" s="2" t="s">
        <v>1509</v>
      </c>
      <c r="S53" s="2"/>
      <c r="T53" s="2"/>
      <c r="U53" s="2"/>
      <c r="V53" s="2"/>
    </row>
    <row r="54" spans="1:24">
      <c r="R54" s="144">
        <v>-12</v>
      </c>
      <c r="S54" s="143" t="s">
        <v>1002</v>
      </c>
      <c r="T54" s="80">
        <f t="shared" ref="T54:T59" si="15">IF(D32&lt;1,LOOKUP(D32,$R$54:$R$66,$S$54:$S$66),0)</f>
        <v>0</v>
      </c>
      <c r="U54" s="80" t="str">
        <f t="shared" ref="U54:U59" ca="1" si="16">IF(E32&gt;0,"+","")</f>
        <v/>
      </c>
      <c r="V54" s="290" t="str">
        <f t="shared" ref="V54:V59" ca="1" si="17">T54&amp;U54</f>
        <v>0</v>
      </c>
      <c r="X54" s="90" t="str">
        <f t="shared" ref="X54:X59" ca="1" si="18">IF(E32=0,(D32&amp;$R$21&amp;U54),(D32&amp;$R$21&amp;U54&amp;E32))</f>
        <v>4D6-5</v>
      </c>
    </row>
    <row r="55" spans="1:24">
      <c r="R55" s="142">
        <v>-11</v>
      </c>
      <c r="S55" s="136" t="s">
        <v>1002</v>
      </c>
      <c r="T55" s="9">
        <f t="shared" si="15"/>
        <v>0</v>
      </c>
      <c r="U55" s="9" t="str">
        <f t="shared" ca="1" si="16"/>
        <v/>
      </c>
      <c r="V55" s="294" t="str">
        <f t="shared" ca="1" si="17"/>
        <v>0</v>
      </c>
      <c r="X55" s="90" t="str">
        <f t="shared" ca="1" si="18"/>
        <v>4D6-5</v>
      </c>
    </row>
    <row r="56" spans="1:24">
      <c r="R56" s="142">
        <v>-10</v>
      </c>
      <c r="S56" s="136" t="s">
        <v>1002</v>
      </c>
      <c r="T56" s="9">
        <f t="shared" si="15"/>
        <v>0</v>
      </c>
      <c r="U56" s="9" t="str">
        <f t="shared" si="16"/>
        <v>+</v>
      </c>
      <c r="V56" s="294" t="str">
        <f t="shared" si="17"/>
        <v>0+</v>
      </c>
      <c r="X56" s="90" t="str">
        <f t="shared" si="18"/>
        <v>D6+</v>
      </c>
    </row>
    <row r="57" spans="1:24">
      <c r="R57" s="142">
        <v>-9</v>
      </c>
      <c r="S57" s="136" t="s">
        <v>1002</v>
      </c>
      <c r="T57" s="9">
        <f t="shared" si="15"/>
        <v>0</v>
      </c>
      <c r="U57" s="9" t="str">
        <f t="shared" si="16"/>
        <v>+</v>
      </c>
      <c r="V57" s="294" t="str">
        <f t="shared" si="17"/>
        <v>0+</v>
      </c>
      <c r="X57" s="90" t="str">
        <f t="shared" si="18"/>
        <v>D6+</v>
      </c>
    </row>
    <row r="58" spans="1:24">
      <c r="R58" s="142">
        <v>-8</v>
      </c>
      <c r="S58" s="136" t="s">
        <v>1002</v>
      </c>
      <c r="T58" s="9">
        <f t="shared" si="15"/>
        <v>0</v>
      </c>
      <c r="U58" s="9" t="str">
        <f t="shared" si="16"/>
        <v>+</v>
      </c>
      <c r="V58" s="294" t="str">
        <f t="shared" si="17"/>
        <v>0+</v>
      </c>
      <c r="X58" s="90" t="str">
        <f t="shared" si="18"/>
        <v>D6+</v>
      </c>
    </row>
    <row r="59" spans="1:24">
      <c r="R59" s="142">
        <v>-7</v>
      </c>
      <c r="S59" s="136" t="s">
        <v>1002</v>
      </c>
      <c r="T59" s="9">
        <f t="shared" si="15"/>
        <v>0</v>
      </c>
      <c r="U59" s="9" t="str">
        <f t="shared" si="16"/>
        <v>+</v>
      </c>
      <c r="V59" s="294" t="str">
        <f t="shared" si="17"/>
        <v>0+</v>
      </c>
      <c r="X59" s="90" t="str">
        <f t="shared" si="18"/>
        <v>D6+</v>
      </c>
    </row>
    <row r="60" spans="1:24">
      <c r="R60" s="1">
        <v>-6</v>
      </c>
      <c r="S60" s="136" t="s">
        <v>1002</v>
      </c>
      <c r="T60" s="2"/>
      <c r="U60" s="2"/>
      <c r="V60" s="3"/>
    </row>
    <row r="61" spans="1:24">
      <c r="R61" s="1">
        <v>-5</v>
      </c>
      <c r="S61" s="136" t="s">
        <v>1002</v>
      </c>
      <c r="T61" s="2"/>
      <c r="U61" s="2"/>
      <c r="V61" s="3"/>
    </row>
    <row r="62" spans="1:24">
      <c r="R62" s="1">
        <v>-4</v>
      </c>
      <c r="S62" s="136" t="s">
        <v>1002</v>
      </c>
      <c r="T62" s="2"/>
      <c r="U62" s="2"/>
      <c r="V62" s="3"/>
    </row>
    <row r="63" spans="1:24">
      <c r="R63" s="1">
        <v>-3</v>
      </c>
      <c r="S63" s="136" t="s">
        <v>1459</v>
      </c>
      <c r="T63" s="2"/>
      <c r="U63" s="2"/>
      <c r="V63" s="3"/>
    </row>
    <row r="64" spans="1:24">
      <c r="R64" s="1">
        <v>-2</v>
      </c>
      <c r="S64" s="136" t="s">
        <v>1458</v>
      </c>
      <c r="T64" s="2"/>
      <c r="U64" s="2"/>
      <c r="V64" s="3"/>
    </row>
    <row r="65" spans="18:22">
      <c r="R65" s="1">
        <v>-1</v>
      </c>
      <c r="S65" s="136" t="s">
        <v>1716</v>
      </c>
      <c r="T65" s="2"/>
      <c r="U65" s="2"/>
      <c r="V65" s="3"/>
    </row>
    <row r="66" spans="18:22">
      <c r="R66" s="135">
        <v>0</v>
      </c>
      <c r="S66" s="137" t="s">
        <v>1715</v>
      </c>
      <c r="T66" s="4"/>
      <c r="U66" s="4"/>
      <c r="V66" s="85"/>
    </row>
  </sheetData>
  <sheetCalcPr fullCalcOnLoad="1"/>
  <sheetProtection sheet="1" objects="1" scenarios="1"/>
  <mergeCells count="3">
    <mergeCell ref="K6:L7"/>
    <mergeCell ref="M6:M7"/>
    <mergeCell ref="N6:N7"/>
  </mergeCells>
  <phoneticPr fontId="0" type="noConversion"/>
  <pageMargins left="0.75" right="0.75" top="1" bottom="1" header="0.5" footer="0.5"/>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B51"/>
  <sheetViews>
    <sheetView workbookViewId="0"/>
  </sheetViews>
  <sheetFormatPr baseColWidth="10" defaultColWidth="11" defaultRowHeight="13"/>
  <cols>
    <col min="1" max="1" width="19" customWidth="1"/>
    <col min="7" max="7" width="12.83203125" customWidth="1"/>
    <col min="8" max="8" width="16.83203125" customWidth="1"/>
    <col min="10" max="10" width="6.83203125" customWidth="1"/>
    <col min="11" max="11" width="16.83203125" customWidth="1"/>
    <col min="12" max="12" width="6.83203125" customWidth="1"/>
    <col min="13" max="13" width="13.1640625" customWidth="1"/>
  </cols>
  <sheetData>
    <row r="1" spans="1:28">
      <c r="A1" s="19" t="s">
        <v>1151</v>
      </c>
      <c r="B1" s="129">
        <f ca="1">CritterSheet!E14</f>
        <v>6</v>
      </c>
      <c r="C1" s="49" t="s">
        <v>971</v>
      </c>
      <c r="D1" s="69"/>
      <c r="E1" s="127">
        <f ca="1">CritterSheet!E9</f>
        <v>10</v>
      </c>
      <c r="F1" s="37"/>
      <c r="G1" s="37"/>
      <c r="H1" s="37"/>
      <c r="I1" s="37"/>
      <c r="J1" s="37"/>
      <c r="K1" s="37"/>
      <c r="L1" s="37"/>
      <c r="M1" s="78"/>
      <c r="N1" s="96"/>
      <c r="O1" s="95"/>
      <c r="P1" s="95"/>
      <c r="Q1" s="95"/>
      <c r="R1" s="95"/>
      <c r="S1" s="95"/>
      <c r="T1" s="95"/>
      <c r="U1" s="95"/>
      <c r="V1" s="95"/>
      <c r="W1" s="95"/>
      <c r="X1" s="95"/>
      <c r="Y1" s="95"/>
      <c r="Z1" s="95"/>
      <c r="AA1" s="95"/>
      <c r="AB1" s="95"/>
    </row>
    <row r="2" spans="1:28">
      <c r="A2" s="120" t="s">
        <v>1863</v>
      </c>
      <c r="B2" s="130">
        <f ca="1">(CritterSheet!E9+CritterSheet!E14)*3</f>
        <v>48</v>
      </c>
      <c r="C2" s="15" t="s">
        <v>1209</v>
      </c>
      <c r="D2" s="2"/>
      <c r="E2" s="128"/>
      <c r="F2" s="2"/>
      <c r="G2" s="2"/>
      <c r="H2" s="2"/>
      <c r="I2" s="2"/>
      <c r="J2" s="2"/>
      <c r="K2" s="2"/>
      <c r="L2" s="2"/>
      <c r="M2" s="52"/>
    </row>
    <row r="3" spans="1:28">
      <c r="A3" s="121" t="s">
        <v>1007</v>
      </c>
      <c r="B3" s="70">
        <f ca="1">(B2)+(B1+CritterSheet!E13)/2</f>
        <v>58</v>
      </c>
      <c r="C3" s="79" t="s">
        <v>1006</v>
      </c>
      <c r="D3" s="126"/>
      <c r="E3" s="223">
        <f ca="1">(E1+E2)+(CritterSheet!E9+CritterSheet!E13)/2</f>
        <v>22</v>
      </c>
      <c r="F3" s="2"/>
      <c r="G3" s="2"/>
      <c r="H3" s="2"/>
      <c r="I3" s="2"/>
      <c r="J3" s="2"/>
      <c r="K3" s="2"/>
      <c r="L3" s="2"/>
      <c r="M3" s="52"/>
    </row>
    <row r="4" spans="1:28">
      <c r="A4" s="50"/>
      <c r="B4" s="2"/>
      <c r="C4" s="1"/>
      <c r="D4" s="2"/>
      <c r="E4" s="284" t="s">
        <v>831</v>
      </c>
      <c r="F4" s="2"/>
      <c r="G4" s="2"/>
      <c r="H4" s="2"/>
      <c r="I4" s="2"/>
      <c r="J4" s="2"/>
      <c r="K4" s="2"/>
      <c r="L4" s="2"/>
      <c r="M4" s="52"/>
    </row>
    <row r="5" spans="1:28">
      <c r="A5" s="22"/>
      <c r="B5" s="2"/>
      <c r="C5" s="1"/>
      <c r="D5" s="2"/>
      <c r="E5" s="285" t="s">
        <v>827</v>
      </c>
      <c r="F5" s="2"/>
      <c r="G5" s="2"/>
      <c r="H5" s="2"/>
      <c r="I5" s="2"/>
      <c r="J5" s="2"/>
      <c r="K5" s="2"/>
      <c r="L5" s="2"/>
      <c r="M5" s="52"/>
    </row>
    <row r="6" spans="1:28" ht="14" thickBot="1">
      <c r="A6" s="122"/>
      <c r="B6" s="25"/>
      <c r="C6" s="63"/>
      <c r="D6" s="291"/>
      <c r="E6" s="286" t="s">
        <v>828</v>
      </c>
      <c r="F6" s="2"/>
      <c r="G6" s="2"/>
      <c r="H6" s="2"/>
      <c r="I6" s="2"/>
      <c r="J6" s="2"/>
      <c r="K6" s="2"/>
      <c r="L6" s="2"/>
      <c r="M6" s="52"/>
    </row>
    <row r="7" spans="1:28" ht="14" thickBot="1">
      <c r="A7" s="33"/>
      <c r="B7" s="16"/>
      <c r="C7" s="16"/>
      <c r="D7" s="2"/>
      <c r="E7" s="2"/>
      <c r="F7" s="2"/>
      <c r="G7" s="2"/>
      <c r="H7" s="2"/>
      <c r="I7" s="2"/>
      <c r="J7" s="2"/>
      <c r="K7" s="2"/>
      <c r="L7" s="2"/>
      <c r="M7" s="52"/>
    </row>
    <row r="8" spans="1:28">
      <c r="A8" s="32" t="s">
        <v>1938</v>
      </c>
      <c r="B8" s="102" t="s">
        <v>1243</v>
      </c>
      <c r="C8" s="292" t="s">
        <v>1916</v>
      </c>
      <c r="D8" s="292" t="s">
        <v>2370</v>
      </c>
      <c r="E8" s="292" t="s">
        <v>1662</v>
      </c>
      <c r="F8" s="292" t="s">
        <v>1663</v>
      </c>
      <c r="G8" s="292" t="s">
        <v>1689</v>
      </c>
      <c r="H8" s="292" t="s">
        <v>1791</v>
      </c>
      <c r="I8" s="292" t="s">
        <v>2102</v>
      </c>
      <c r="J8" s="292"/>
      <c r="K8" s="222"/>
      <c r="L8" s="69"/>
      <c r="M8" s="131"/>
    </row>
    <row r="9" spans="1:28">
      <c r="A9" s="206" t="str">
        <f>IF(CritterSheet!$B$1="White Mandare","Body Shield","")</f>
        <v/>
      </c>
      <c r="B9" s="201" t="str">
        <f>IF(A9&lt;&gt;"",LOOKUP(A9,SpecialAttacks!$A$2:$A$47,SpecialAttacks!$V$2:$V$47),"")</f>
        <v/>
      </c>
      <c r="C9" s="227" t="str">
        <f>IF(A9&lt;&gt;"",LOOKUP(A9,SpecialAttacks!$A$2:$A$47,SpecialAttacks!$N$2:$N$47),"")</f>
        <v/>
      </c>
      <c r="D9" s="204" t="str">
        <f>IF(A9&lt;&gt;"",LOOKUP(A9,SpecialAttacks!$A$2:$A$47,SpecialAttacks!$Q$2:$Q$47),"")</f>
        <v/>
      </c>
      <c r="E9" s="227" t="str">
        <f>IF(A9&lt;&gt;"",LOOKUP(A9,SpecialAttacks!$A$2:$A$47,SpecialAttacks!$P$2:$P$47),"")</f>
        <v/>
      </c>
      <c r="F9" s="225" t="str">
        <f>IF(A9&lt;&gt;"",LOOKUP(A9,SpecialAttacks!$A$2:$A$47,SpecialAttacks!$R$2:$R$47),"")</f>
        <v/>
      </c>
      <c r="G9" s="227" t="str">
        <f>IF(A9&lt;&gt;"",LOOKUP(A9,SpecialAttacks!$A$2:$A$47,SpecialAttacks!$W$2:$W$47),"")</f>
        <v/>
      </c>
      <c r="H9" s="204" t="str">
        <f>IF(A9&lt;&gt;"",LOOKUP(A9,SpecialAttacks!$A$2:$A$47,SpecialAttacks!$X$2:$X$47),"")</f>
        <v/>
      </c>
      <c r="I9" s="228" t="str">
        <f>IF(A9&lt;&gt;"",LOOKUP(A9,SpecialAttacks!$A$2:$A$47,SpecialAttacks!$Y$2:$Y$47),"")</f>
        <v/>
      </c>
      <c r="J9" s="229"/>
      <c r="K9" s="197"/>
      <c r="L9" s="197"/>
      <c r="M9" s="198"/>
    </row>
    <row r="10" spans="1:28">
      <c r="A10" s="44" t="str">
        <f>IF(CritterSheet!$B$1="White Mandare","Bubble","")</f>
        <v/>
      </c>
      <c r="B10" s="202" t="str">
        <f>IF(A10&lt;&gt;"",LOOKUP(A10,SpecialAttacks!$A$2:$A$47,SpecialAttacks!$V$2:$V$47),"")</f>
        <v/>
      </c>
      <c r="C10" s="62" t="str">
        <f>IF(A10&lt;&gt;"",LOOKUP(A10,SpecialAttacks!$A$2:$A$47,SpecialAttacks!$N$2:$N$47),"")</f>
        <v/>
      </c>
      <c r="D10" s="61" t="str">
        <f>IF(A10&lt;&gt;"",LOOKUP(A10,SpecialAttacks!$A$2:$A$47,SpecialAttacks!$Q$2:$Q$47),"")</f>
        <v/>
      </c>
      <c r="E10" s="62" t="str">
        <f>IF(A10&lt;&gt;"",LOOKUP(A10,SpecialAttacks!$A$2:$A$47,SpecialAttacks!$P$2:$P$47),"")</f>
        <v/>
      </c>
      <c r="F10" s="226" t="str">
        <f>IF(A10&lt;&gt;"",LOOKUP(A10,SpecialAttacks!$A$2:$A$47,SpecialAttacks!$R$2:$R$47),"")</f>
        <v/>
      </c>
      <c r="G10" s="62" t="str">
        <f>IF(A10&lt;&gt;"",LOOKUP(A10,SpecialAttacks!$A$2:$A$47,SpecialAttacks!$W$2:$W$47),"")</f>
        <v/>
      </c>
      <c r="H10" s="61" t="str">
        <f>IF(A10&lt;&gt;"",LOOKUP(A10,SpecialAttacks!$A$2:$A$47,SpecialAttacks!$X$2:$X$47),"")</f>
        <v/>
      </c>
      <c r="I10" s="215" t="str">
        <f>IF(A10&lt;&gt;"",LOOKUP(A10,SpecialAttacks!$A$2:$A$47,SpecialAttacks!$Y$2:$Y$47),"")</f>
        <v/>
      </c>
      <c r="J10" s="13"/>
      <c r="K10" s="4"/>
      <c r="L10" s="10"/>
      <c r="M10" s="45"/>
    </row>
    <row r="11" spans="1:28">
      <c r="A11" s="206" t="str">
        <f>IF(CritterSheet!$B$1="White Mandare","Cage","")</f>
        <v/>
      </c>
      <c r="B11" s="201" t="str">
        <f>IF(A11&lt;&gt;"",LOOKUP(A11,SpecialAttacks!$A$2:$A$47,SpecialAttacks!$V$2:$V$47),"")</f>
        <v/>
      </c>
      <c r="C11" s="227" t="str">
        <f>IF(A11&lt;&gt;"",LOOKUP(A11,SpecialAttacks!$A$2:$A$47,SpecialAttacks!$N$2:$N$47),"")</f>
        <v/>
      </c>
      <c r="D11" s="204" t="str">
        <f>IF(A11&lt;&gt;"",LOOKUP(A11,SpecialAttacks!$A$2:$A$47,SpecialAttacks!$Q$2:$Q$47),"")</f>
        <v/>
      </c>
      <c r="E11" s="227" t="str">
        <f>IF(A11&lt;&gt;"",LOOKUP(A11,SpecialAttacks!$A$2:$A$47,SpecialAttacks!$P$2:$P$47),"")</f>
        <v/>
      </c>
      <c r="F11" s="225" t="str">
        <f>IF(A11&lt;&gt;"",LOOKUP(A11,SpecialAttacks!$A$2:$A$47,SpecialAttacks!$R$2:$R$47),"")</f>
        <v/>
      </c>
      <c r="G11" s="227" t="str">
        <f>IF(A11&lt;&gt;"",LOOKUP(A11,SpecialAttacks!$A$2:$A$47,SpecialAttacks!$W$2:$W$47),"")</f>
        <v/>
      </c>
      <c r="H11" s="204" t="str">
        <f>IF(A11&lt;&gt;"",LOOKUP(A11,SpecialAttacks!$A$2:$A$47,SpecialAttacks!$X$2:$X$47),"")</f>
        <v/>
      </c>
      <c r="I11" s="228" t="str">
        <f>IF(A11&lt;&gt;"",LOOKUP(A11,SpecialAttacks!$A$2:$A$47,SpecialAttacks!$Y$2:$Y$47),"")</f>
        <v/>
      </c>
      <c r="J11" s="229"/>
      <c r="K11" s="197"/>
      <c r="L11" s="197"/>
      <c r="M11" s="198"/>
    </row>
    <row r="12" spans="1:28">
      <c r="A12" s="44" t="str">
        <f>IF(CritterSheet!$B$1="White Mandare","Cast Energy","")</f>
        <v/>
      </c>
      <c r="B12" s="202" t="str">
        <f>IF(A12&lt;&gt;"",LOOKUP(A12,SpecialAttacks!$A$2:$A$47,SpecialAttacks!$V$2:$V$47),"")</f>
        <v/>
      </c>
      <c r="C12" s="62" t="str">
        <f>IF(A12&lt;&gt;"",LOOKUP(A12,SpecialAttacks!$A$2:$A$47,SpecialAttacks!$N$2:$N$47),"")</f>
        <v/>
      </c>
      <c r="D12" s="61" t="str">
        <f>IF(A12&lt;&gt;"",LOOKUP(A12,SpecialAttacks!$A$2:$A$47,SpecialAttacks!$Q$2:$Q$47),"")</f>
        <v/>
      </c>
      <c r="E12" s="62" t="str">
        <f>IF(A12&lt;&gt;"",LOOKUP(A12,SpecialAttacks!$A$2:$A$47,SpecialAttacks!$P$2:$P$47),"")</f>
        <v/>
      </c>
      <c r="F12" s="226" t="str">
        <f>IF(A12&lt;&gt;"",LOOKUP(A12,SpecialAttacks!$A$2:$A$47,SpecialAttacks!$R$2:$R$47),"")</f>
        <v/>
      </c>
      <c r="G12" s="62" t="str">
        <f>IF(A12&lt;&gt;"",LOOKUP(A12,SpecialAttacks!$A$2:$A$47,SpecialAttacks!$W$2:$W$47),"")</f>
        <v/>
      </c>
      <c r="H12" s="61" t="str">
        <f>IF(A12&lt;&gt;"",LOOKUP(A12,SpecialAttacks!$A$2:$A$47,SpecialAttacks!$X$2:$X$47),"")</f>
        <v/>
      </c>
      <c r="I12" s="215" t="str">
        <f>IF(A12&lt;&gt;"",LOOKUP(A12,SpecialAttacks!$A$2:$A$47,SpecialAttacks!$Y$2:$Y$47),"")</f>
        <v/>
      </c>
      <c r="J12" s="13"/>
      <c r="K12" s="4"/>
      <c r="L12" s="10"/>
      <c r="M12" s="45"/>
    </row>
    <row r="13" spans="1:28">
      <c r="A13" s="206" t="str">
        <f>IF(CritterSheet!$B$1="White Mandare","Constrictor","")</f>
        <v/>
      </c>
      <c r="B13" s="201" t="str">
        <f>IF(A13&lt;&gt;"",LOOKUP(A13,SpecialAttacks!$A$2:$A$47,SpecialAttacks!$V$2:$V$47),"")</f>
        <v/>
      </c>
      <c r="C13" s="227" t="str">
        <f>IF(A13&lt;&gt;"",LOOKUP(A13,SpecialAttacks!$A$2:$A$47,SpecialAttacks!$N$2:$N$47),"")</f>
        <v/>
      </c>
      <c r="D13" s="204" t="str">
        <f>IF(A13&lt;&gt;"",LOOKUP(A13,SpecialAttacks!$A$2:$A$47,SpecialAttacks!$Q$2:$Q$47),"")</f>
        <v/>
      </c>
      <c r="E13" s="227" t="str">
        <f>IF(A13&lt;&gt;"",LOOKUP(A13,SpecialAttacks!$A$2:$A$47,SpecialAttacks!$P$2:$P$47),"")</f>
        <v/>
      </c>
      <c r="F13" s="225" t="str">
        <f>IF(A13&lt;&gt;"",LOOKUP(A13,SpecialAttacks!$A$2:$A$47,SpecialAttacks!$R$2:$R$47),"")</f>
        <v/>
      </c>
      <c r="G13" s="227" t="str">
        <f>IF(A13&lt;&gt;"",LOOKUP(A13,SpecialAttacks!$A$2:$A$47,SpecialAttacks!$W$2:$W$47),"")</f>
        <v/>
      </c>
      <c r="H13" s="204" t="str">
        <f>IF(A13&lt;&gt;"",LOOKUP(A13,SpecialAttacks!$A$2:$A$47,SpecialAttacks!$X$2:$X$47),"")</f>
        <v/>
      </c>
      <c r="I13" s="228" t="str">
        <f>IF(A13&lt;&gt;"",LOOKUP(A13,SpecialAttacks!$A$2:$A$47,SpecialAttacks!$Y$2:$Y$47),"")</f>
        <v/>
      </c>
      <c r="J13" s="229"/>
      <c r="K13" s="197"/>
      <c r="L13" s="197"/>
      <c r="M13" s="198"/>
    </row>
    <row r="14" spans="1:28">
      <c r="A14" s="44" t="str">
        <f>IF(CritterSheet!$B$1="White Mandare","Crater","")</f>
        <v/>
      </c>
      <c r="B14" s="202" t="str">
        <f>IF(A14&lt;&gt;"",LOOKUP(A14,SpecialAttacks!$A$2:$A$47,SpecialAttacks!$V$2:$V$47),"")</f>
        <v/>
      </c>
      <c r="C14" s="62" t="str">
        <f>IF(A14&lt;&gt;"",LOOKUP(A14,SpecialAttacks!$A$2:$A$47,SpecialAttacks!$N$2:$N$47),"")</f>
        <v/>
      </c>
      <c r="D14" s="61" t="str">
        <f>IF(A14&lt;&gt;"",LOOKUP(A14,SpecialAttacks!$A$2:$A$47,SpecialAttacks!$Q$2:$Q$47),"")</f>
        <v/>
      </c>
      <c r="E14" s="62" t="str">
        <f>IF(A14&lt;&gt;"",LOOKUP(A14,SpecialAttacks!$A$2:$A$47,SpecialAttacks!$P$2:$P$47),"")</f>
        <v/>
      </c>
      <c r="F14" s="226" t="str">
        <f>IF(A14&lt;&gt;"",LOOKUP(A14,SpecialAttacks!$A$2:$A$47,SpecialAttacks!$R$2:$R$47),"")</f>
        <v/>
      </c>
      <c r="G14" s="62" t="str">
        <f>IF(A14&lt;&gt;"",LOOKUP(A14,SpecialAttacks!$A$2:$A$47,SpecialAttacks!$W$2:$W$47),"")</f>
        <v/>
      </c>
      <c r="H14" s="61" t="str">
        <f>IF(A14&lt;&gt;"",LOOKUP(A14,SpecialAttacks!$A$2:$A$47,SpecialAttacks!$X$2:$X$47),"")</f>
        <v/>
      </c>
      <c r="I14" s="215" t="str">
        <f>IF(A14&lt;&gt;"",LOOKUP(A14,SpecialAttacks!$A$2:$A$47,SpecialAttacks!$Y$2:$Y$47),"")</f>
        <v/>
      </c>
      <c r="J14" s="13"/>
      <c r="K14" s="4"/>
      <c r="L14" s="10"/>
      <c r="M14" s="45"/>
    </row>
    <row r="15" spans="1:28">
      <c r="A15" s="206" t="str">
        <f>IF(CritterSheet!$B$1="White Mandare","Flingers","")</f>
        <v/>
      </c>
      <c r="B15" s="201" t="str">
        <f>IF(A15&lt;&gt;"",LOOKUP(A15,SpecialAttacks!$A$2:$A$47,SpecialAttacks!$V$2:$V$47),"")</f>
        <v/>
      </c>
      <c r="C15" s="227" t="str">
        <f>IF(A15&lt;&gt;"",LOOKUP(A15,SpecialAttacks!$A$2:$A$47,SpecialAttacks!$N$2:$N$47),"")</f>
        <v/>
      </c>
      <c r="D15" s="204" t="str">
        <f>IF(A15&lt;&gt;"",LOOKUP(A15,SpecialAttacks!$A$2:$A$47,SpecialAttacks!$Q$2:$Q$47),"")</f>
        <v/>
      </c>
      <c r="E15" s="227" t="str">
        <f>IF(A15&lt;&gt;"",LOOKUP(A15,SpecialAttacks!$A$2:$A$47,SpecialAttacks!$P$2:$P$47),"")</f>
        <v/>
      </c>
      <c r="F15" s="225" t="str">
        <f>IF(A15&lt;&gt;"",LOOKUP(A15,SpecialAttacks!$A$2:$A$47,SpecialAttacks!$R$2:$R$47),"")</f>
        <v/>
      </c>
      <c r="G15" s="227" t="str">
        <f>IF(A15&lt;&gt;"",LOOKUP(A15,SpecialAttacks!$A$2:$A$47,SpecialAttacks!$W$2:$W$47),"")</f>
        <v/>
      </c>
      <c r="H15" s="204" t="str">
        <f>IF(A15&lt;&gt;"",LOOKUP(A15,SpecialAttacks!$A$2:$A$47,SpecialAttacks!$X$2:$X$47),"")</f>
        <v/>
      </c>
      <c r="I15" s="228" t="str">
        <f>IF(A15&lt;&gt;"",LOOKUP(A15,SpecialAttacks!$A$2:$A$47,SpecialAttacks!$Y$2:$Y$47),"")</f>
        <v/>
      </c>
      <c r="J15" s="229"/>
      <c r="K15" s="197"/>
      <c r="L15" s="197"/>
      <c r="M15" s="198"/>
    </row>
    <row r="16" spans="1:28">
      <c r="A16" s="44" t="str">
        <f>IF(CritterSheet!$B$1="White Mandare","Frost Bolt","")</f>
        <v/>
      </c>
      <c r="B16" s="202" t="str">
        <f>IF(A16&lt;&gt;"",LOOKUP(A16,SpecialAttacks!$A$2:$A$47,SpecialAttacks!$V$2:$V$47),"")</f>
        <v/>
      </c>
      <c r="C16" s="62" t="str">
        <f>IF(A16&lt;&gt;"",LOOKUP(A16,SpecialAttacks!$A$2:$A$47,SpecialAttacks!$N$2:$N$47),"")</f>
        <v/>
      </c>
      <c r="D16" s="61" t="str">
        <f>IF(A16&lt;&gt;"",LOOKUP(A16,SpecialAttacks!$A$2:$A$47,SpecialAttacks!$Q$2:$Q$47),"")</f>
        <v/>
      </c>
      <c r="E16" s="62" t="str">
        <f>IF(A16&lt;&gt;"",LOOKUP(A16,SpecialAttacks!$A$2:$A$47,SpecialAttacks!$P$2:$P$47),"")</f>
        <v/>
      </c>
      <c r="F16" s="226" t="str">
        <f>IF(A16&lt;&gt;"",LOOKUP(A16,SpecialAttacks!$A$2:$A$47,SpecialAttacks!$R$2:$R$47),"")</f>
        <v/>
      </c>
      <c r="G16" s="62" t="str">
        <f>IF(A16&lt;&gt;"",LOOKUP(A16,SpecialAttacks!$A$2:$A$47,SpecialAttacks!$W$2:$W$47),"")</f>
        <v/>
      </c>
      <c r="H16" s="61" t="str">
        <f>IF(A16&lt;&gt;"",LOOKUP(A16,SpecialAttacks!$A$2:$A$47,SpecialAttacks!$X$2:$X$47),"")</f>
        <v/>
      </c>
      <c r="I16" s="215" t="str">
        <f>IF(A16&lt;&gt;"",LOOKUP(A16,SpecialAttacks!$A$2:$A$47,SpecialAttacks!$Y$2:$Y$47),"")</f>
        <v/>
      </c>
      <c r="J16" s="13"/>
      <c r="K16" s="4"/>
      <c r="L16" s="10"/>
      <c r="M16" s="45"/>
    </row>
    <row r="17" spans="1:13">
      <c r="A17" s="206" t="str">
        <f>IF(CritterSheet!$B$1="White Mandare","Levitate","")</f>
        <v/>
      </c>
      <c r="B17" s="201" t="str">
        <f>IF(A17&lt;&gt;"",LOOKUP(A17,SpecialAttacks!$A$2:$A$47,SpecialAttacks!$V$2:$V$47),"")</f>
        <v/>
      </c>
      <c r="C17" s="227" t="str">
        <f>IF(A17&lt;&gt;"",LOOKUP(A17,SpecialAttacks!$A$2:$A$47,SpecialAttacks!$N$2:$N$47),"")</f>
        <v/>
      </c>
      <c r="D17" s="204" t="str">
        <f>IF(A17&lt;&gt;"",LOOKUP(A17,SpecialAttacks!$A$2:$A$47,SpecialAttacks!$Q$2:$Q$47),"")</f>
        <v/>
      </c>
      <c r="E17" s="227" t="str">
        <f>IF(A17&lt;&gt;"",LOOKUP(A17,SpecialAttacks!$A$2:$A$47,SpecialAttacks!$P$2:$P$47),"")</f>
        <v/>
      </c>
      <c r="F17" s="225" t="str">
        <f>IF(A17&lt;&gt;"",LOOKUP(A17,SpecialAttacks!$A$2:$A$47,SpecialAttacks!$R$2:$R$47),"")</f>
        <v/>
      </c>
      <c r="G17" s="227" t="str">
        <f>IF(A17&lt;&gt;"",LOOKUP(A17,SpecialAttacks!$A$2:$A$47,SpecialAttacks!$W$2:$W$47),"")</f>
        <v/>
      </c>
      <c r="H17" s="204" t="str">
        <f>IF(A17&lt;&gt;"",LOOKUP(A17,SpecialAttacks!$A$2:$A$47,SpecialAttacks!$X$2:$X$47),"")</f>
        <v/>
      </c>
      <c r="I17" s="228" t="str">
        <f>IF(A17&lt;&gt;"",LOOKUP(A17,SpecialAttacks!$A$2:$A$47,SpecialAttacks!$Y$2:$Y$47),"")</f>
        <v/>
      </c>
      <c r="J17" s="229"/>
      <c r="K17" s="197"/>
      <c r="L17" s="197"/>
      <c r="M17" s="198"/>
    </row>
    <row r="18" spans="1:13">
      <c r="A18" s="44" t="str">
        <f>IF(CritterSheet!$B$1="White Mandare","Lightning Blast","")</f>
        <v/>
      </c>
      <c r="B18" s="202" t="str">
        <f>IF(A18&lt;&gt;"",LOOKUP(A18,SpecialAttacks!$A$2:$A$47,SpecialAttacks!$V$2:$V$47),"")</f>
        <v/>
      </c>
      <c r="C18" s="62" t="str">
        <f>IF(A18&lt;&gt;"",LOOKUP(A18,SpecialAttacks!$A$2:$A$47,SpecialAttacks!$N$2:$N$47),"")</f>
        <v/>
      </c>
      <c r="D18" s="61" t="str">
        <f>IF(A18&lt;&gt;"",LOOKUP(A18,SpecialAttacks!$A$2:$A$47,SpecialAttacks!$Q$2:$Q$47),"")</f>
        <v/>
      </c>
      <c r="E18" s="62" t="str">
        <f>IF(A18&lt;&gt;"",LOOKUP(A18,SpecialAttacks!$A$2:$A$47,SpecialAttacks!$P$2:$P$47),"")</f>
        <v/>
      </c>
      <c r="F18" s="226" t="str">
        <f>IF(A18&lt;&gt;"",LOOKUP(A18,SpecialAttacks!$A$2:$A$47,SpecialAttacks!$R$2:$R$47),"")</f>
        <v/>
      </c>
      <c r="G18" s="62" t="str">
        <f>IF(A18&lt;&gt;"",LOOKUP(A18,SpecialAttacks!$A$2:$A$47,SpecialAttacks!$W$2:$W$47),"")</f>
        <v/>
      </c>
      <c r="H18" s="61" t="str">
        <f>IF(A18&lt;&gt;"",LOOKUP(A18,SpecialAttacks!$A$2:$A$47,SpecialAttacks!$X$2:$X$47),"")</f>
        <v/>
      </c>
      <c r="I18" s="215" t="str">
        <f>IF(A18&lt;&gt;"",LOOKUP(A18,SpecialAttacks!$A$2:$A$47,SpecialAttacks!$Y$2:$Y$47),"")</f>
        <v/>
      </c>
      <c r="J18" s="13"/>
      <c r="K18" s="4"/>
      <c r="L18" s="10"/>
      <c r="M18" s="45"/>
    </row>
    <row r="19" spans="1:13">
      <c r="A19" s="206" t="str">
        <f>IF(CritterSheet!$B$1="White Mandare","Lighning Strike","")</f>
        <v/>
      </c>
      <c r="B19" s="201" t="str">
        <f>IF(A19&lt;&gt;"",LOOKUP(A19,SpecialAttacks!$A$2:$A$47,SpecialAttacks!$V$2:$V$47),"")</f>
        <v/>
      </c>
      <c r="C19" s="227" t="str">
        <f>IF(A19&lt;&gt;"",LOOKUP(A19,SpecialAttacks!$A$2:$A$47,SpecialAttacks!$N$2:$N$47),"")</f>
        <v/>
      </c>
      <c r="D19" s="204" t="str">
        <f>IF(A19&lt;&gt;"",LOOKUP(A19,SpecialAttacks!$A$2:$A$47,SpecialAttacks!$Q$2:$Q$47),"")</f>
        <v/>
      </c>
      <c r="E19" s="227" t="str">
        <f>IF(A19&lt;&gt;"",LOOKUP(A19,SpecialAttacks!$A$2:$A$47,SpecialAttacks!$P$2:$P$47),"")</f>
        <v/>
      </c>
      <c r="F19" s="225" t="str">
        <f>IF(A19&lt;&gt;"",LOOKUP(A19,SpecialAttacks!$A$2:$A$47,SpecialAttacks!$R$2:$R$47),"")</f>
        <v/>
      </c>
      <c r="G19" s="227" t="str">
        <f>IF(A19&lt;&gt;"",LOOKUP(A19,SpecialAttacks!$A$2:$A$47,SpecialAttacks!$W$2:$W$47),"")</f>
        <v/>
      </c>
      <c r="H19" s="204" t="str">
        <f>IF(A19&lt;&gt;"",LOOKUP(A19,SpecialAttacks!$A$2:$A$47,SpecialAttacks!$X$2:$X$47),"")</f>
        <v/>
      </c>
      <c r="I19" s="228" t="str">
        <f>IF(A19&lt;&gt;"",LOOKUP(A19,SpecialAttacks!$A$2:$A$47,SpecialAttacks!$Y$2:$Y$47),"")</f>
        <v/>
      </c>
      <c r="J19" s="229"/>
      <c r="K19" s="197"/>
      <c r="L19" s="197"/>
      <c r="M19" s="198"/>
    </row>
    <row r="20" spans="1:13">
      <c r="A20" s="44" t="str">
        <f>IF(CritterSheet!$B$1="White Mandare","Orb of Light","")</f>
        <v/>
      </c>
      <c r="B20" s="202" t="str">
        <f>IF(A20&lt;&gt;"",LOOKUP(A20,SpecialAttacks!$A$2:$A$47,SpecialAttacks!$V$2:$V$47),"")</f>
        <v/>
      </c>
      <c r="C20" s="62" t="str">
        <f>IF(A20&lt;&gt;"",LOOKUP(A20,SpecialAttacks!$A$2:$A$47,SpecialAttacks!$N$2:$N$47),"")</f>
        <v/>
      </c>
      <c r="D20" s="61" t="str">
        <f>IF(A20&lt;&gt;"",LOOKUP(A20,SpecialAttacks!$A$2:$A$47,SpecialAttacks!$Q$2:$Q$47),"")</f>
        <v/>
      </c>
      <c r="E20" s="62" t="str">
        <f>IF(A20&lt;&gt;"",LOOKUP(A20,SpecialAttacks!$A$2:$A$47,SpecialAttacks!$P$2:$P$47),"")</f>
        <v/>
      </c>
      <c r="F20" s="226" t="str">
        <f>IF(A20&lt;&gt;"",LOOKUP(A20,SpecialAttacks!$A$2:$A$47,SpecialAttacks!$R$2:$R$47),"")</f>
        <v/>
      </c>
      <c r="G20" s="62" t="str">
        <f>IF(A20&lt;&gt;"",LOOKUP(A20,SpecialAttacks!$A$2:$A$47,SpecialAttacks!$W$2:$W$47),"")</f>
        <v/>
      </c>
      <c r="H20" s="61" t="str">
        <f>IF(A20&lt;&gt;"",LOOKUP(A20,SpecialAttacks!$A$2:$A$47,SpecialAttacks!$X$2:$X$47),"")</f>
        <v/>
      </c>
      <c r="I20" s="215" t="str">
        <f>IF(A20&lt;&gt;"",LOOKUP(A20,SpecialAttacks!$A$2:$A$47,SpecialAttacks!$Y$2:$Y$47),"")</f>
        <v/>
      </c>
      <c r="J20" s="13"/>
      <c r="K20" s="4"/>
      <c r="L20" s="10"/>
      <c r="M20" s="45"/>
    </row>
    <row r="21" spans="1:13">
      <c r="A21" s="206" t="str">
        <f>IF(CritterSheet!$B$1="White Mandare","Penetration Bolt","")</f>
        <v/>
      </c>
      <c r="B21" s="201" t="str">
        <f>IF(A21&lt;&gt;"",LOOKUP(A21,SpecialAttacks!$A$2:$A$47,SpecialAttacks!$V$2:$V$47),"")</f>
        <v/>
      </c>
      <c r="C21" s="227" t="str">
        <f>IF(A21&lt;&gt;"",LOOKUP(A21,SpecialAttacks!$A$2:$A$47,SpecialAttacks!$N$2:$N$47),"")</f>
        <v/>
      </c>
      <c r="D21" s="204" t="str">
        <f>IF(A21&lt;&gt;"",LOOKUP(A21,SpecialAttacks!$A$2:$A$47,SpecialAttacks!$Q$2:$Q$47),"")</f>
        <v/>
      </c>
      <c r="E21" s="227" t="str">
        <f>IF(A21&lt;&gt;"",LOOKUP(A21,SpecialAttacks!$A$2:$A$47,SpecialAttacks!$P$2:$P$47),"")</f>
        <v/>
      </c>
      <c r="F21" s="225" t="str">
        <f>IF(A21&lt;&gt;"",LOOKUP(A21,SpecialAttacks!$A$2:$A$47,SpecialAttacks!$R$2:$R$47),"")</f>
        <v/>
      </c>
      <c r="G21" s="227" t="str">
        <f>IF(A21&lt;&gt;"",LOOKUP(A21,SpecialAttacks!$A$2:$A$47,SpecialAttacks!$W$2:$W$47),"")</f>
        <v/>
      </c>
      <c r="H21" s="204" t="str">
        <f>IF(A21&lt;&gt;"",LOOKUP(A21,SpecialAttacks!$A$2:$A$47,SpecialAttacks!$X$2:$X$47),"")</f>
        <v/>
      </c>
      <c r="I21" s="228" t="str">
        <f>IF(A21&lt;&gt;"",LOOKUP(A21,SpecialAttacks!$A$2:$A$47,SpecialAttacks!$Y$2:$Y$47),"")</f>
        <v/>
      </c>
      <c r="J21" s="229"/>
      <c r="K21" s="197"/>
      <c r="L21" s="197"/>
      <c r="M21" s="198"/>
    </row>
    <row r="22" spans="1:13">
      <c r="A22" s="44" t="str">
        <f>IF(CritterSheet!$B$1="White Mandare","Ping","")</f>
        <v/>
      </c>
      <c r="B22" s="202" t="str">
        <f>IF(A22&lt;&gt;"",LOOKUP(A22,SpecialAttacks!$A$2:$A$47,SpecialAttacks!$V$2:$V$47),"")</f>
        <v/>
      </c>
      <c r="C22" s="62" t="str">
        <f>IF(A22&lt;&gt;"",LOOKUP(A22,SpecialAttacks!$A$2:$A$47,SpecialAttacks!$N$2:$N$47),"")</f>
        <v/>
      </c>
      <c r="D22" s="61" t="str">
        <f>IF(A22&lt;&gt;"",LOOKUP(A22,SpecialAttacks!$A$2:$A$47,SpecialAttacks!$Q$2:$Q$47),"")</f>
        <v/>
      </c>
      <c r="E22" s="62" t="str">
        <f>IF(A22&lt;&gt;"",LOOKUP(A22,SpecialAttacks!$A$2:$A$47,SpecialAttacks!$P$2:$P$47),"")</f>
        <v/>
      </c>
      <c r="F22" s="226" t="str">
        <f>IF(A22&lt;&gt;"",LOOKUP(A22,SpecialAttacks!$A$2:$A$47,SpecialAttacks!$R$2:$R$47),"")</f>
        <v/>
      </c>
      <c r="G22" s="62" t="str">
        <f>IF(A22&lt;&gt;"",LOOKUP(A22,SpecialAttacks!$A$2:$A$47,SpecialAttacks!$W$2:$W$47),"")</f>
        <v/>
      </c>
      <c r="H22" s="61" t="str">
        <f>IF(A22&lt;&gt;"",LOOKUP(A22,SpecialAttacks!$A$2:$A$47,SpecialAttacks!$X$2:$X$47),"")</f>
        <v/>
      </c>
      <c r="I22" s="215" t="str">
        <f>IF(A22&lt;&gt;"",LOOKUP(A22,SpecialAttacks!$A$2:$A$47,SpecialAttacks!$Y$2:$Y$47),"")</f>
        <v/>
      </c>
      <c r="J22" s="13"/>
      <c r="K22" s="4"/>
      <c r="L22" s="10"/>
      <c r="M22" s="45"/>
    </row>
    <row r="23" spans="1:13">
      <c r="A23" s="206" t="str">
        <f>IF(CritterSheet!$B$1="White Mandare","Power Hold","")</f>
        <v/>
      </c>
      <c r="B23" s="201" t="str">
        <f>IF(A23&lt;&gt;"",LOOKUP(A23,SpecialAttacks!$A$2:$A$47,SpecialAttacks!$V$2:$V$47),"")</f>
        <v/>
      </c>
      <c r="C23" s="227" t="str">
        <f>IF(A23&lt;&gt;"",LOOKUP(A23,SpecialAttacks!$A$2:$A$47,SpecialAttacks!$N$2:$N$47),"")</f>
        <v/>
      </c>
      <c r="D23" s="204" t="str">
        <f>IF(A23&lt;&gt;"",LOOKUP(A23,SpecialAttacks!$A$2:$A$47,SpecialAttacks!$Q$2:$Q$47),"")</f>
        <v/>
      </c>
      <c r="E23" s="227" t="str">
        <f>IF(A23&lt;&gt;"",LOOKUP(A23,SpecialAttacks!$A$2:$A$47,SpecialAttacks!$P$2:$P$47),"")</f>
        <v/>
      </c>
      <c r="F23" s="225" t="str">
        <f>IF(A23&lt;&gt;"",LOOKUP(A23,SpecialAttacks!$A$2:$A$47,SpecialAttacks!$R$2:$R$47),"")</f>
        <v/>
      </c>
      <c r="G23" s="227" t="str">
        <f>IF(A23&lt;&gt;"",LOOKUP(A23,SpecialAttacks!$A$2:$A$47,SpecialAttacks!$W$2:$W$47),"")</f>
        <v/>
      </c>
      <c r="H23" s="204" t="str">
        <f>IF(A23&lt;&gt;"",LOOKUP(A23,SpecialAttacks!$A$2:$A$47,SpecialAttacks!$X$2:$X$47),"")</f>
        <v/>
      </c>
      <c r="I23" s="228" t="str">
        <f>IF(A23&lt;&gt;"",LOOKUP(A23,SpecialAttacks!$A$2:$A$47,SpecialAttacks!$Y$2:$Y$47),"")</f>
        <v/>
      </c>
      <c r="J23" s="229"/>
      <c r="K23" s="197"/>
      <c r="L23" s="197"/>
      <c r="M23" s="198"/>
    </row>
    <row r="24" spans="1:13">
      <c r="A24" s="44" t="str">
        <f>IF(CritterSheet!$B$1="White Mandare","Power Orb","")</f>
        <v/>
      </c>
      <c r="B24" s="202" t="str">
        <f>IF(A24&lt;&gt;"",LOOKUP(A24,SpecialAttacks!$A$2:$A$47,SpecialAttacks!$V$2:$V$47),"")</f>
        <v/>
      </c>
      <c r="C24" s="62" t="str">
        <f>IF(A24&lt;&gt;"",LOOKUP(A24,SpecialAttacks!$A$2:$A$47,SpecialAttacks!$N$2:$N$47),"")</f>
        <v/>
      </c>
      <c r="D24" s="61" t="str">
        <f>IF(A24&lt;&gt;"",LOOKUP(A24,SpecialAttacks!$A$2:$A$47,SpecialAttacks!$Q$2:$Q$47),"")</f>
        <v/>
      </c>
      <c r="E24" s="62" t="str">
        <f>IF(A24&lt;&gt;"",LOOKUP(A24,SpecialAttacks!$A$2:$A$47,SpecialAttacks!$P$2:$P$47),"")</f>
        <v/>
      </c>
      <c r="F24" s="226" t="str">
        <f>IF(A24&lt;&gt;"",LOOKUP(A24,SpecialAttacks!$A$2:$A$47,SpecialAttacks!$R$2:$R$47),"")</f>
        <v/>
      </c>
      <c r="G24" s="62" t="str">
        <f>IF(A24&lt;&gt;"",LOOKUP(A24,SpecialAttacks!$A$2:$A$47,SpecialAttacks!$W$2:$W$47),"")</f>
        <v/>
      </c>
      <c r="H24" s="61" t="str">
        <f>IF(A24&lt;&gt;"",LOOKUP(A24,SpecialAttacks!$A$2:$A$47,SpecialAttacks!$X$2:$X$47),"")</f>
        <v/>
      </c>
      <c r="I24" s="215" t="str">
        <f>IF(A24&lt;&gt;"",LOOKUP(A24,SpecialAttacks!$A$2:$A$47,SpecialAttacks!$Y$2:$Y$47),"")</f>
        <v/>
      </c>
      <c r="J24" s="13"/>
      <c r="K24" s="4"/>
      <c r="L24" s="10"/>
      <c r="M24" s="45"/>
    </row>
    <row r="25" spans="1:13">
      <c r="A25" s="206" t="str">
        <f>IF(CritterSheet!$B$1="White Mandare","Push","")</f>
        <v/>
      </c>
      <c r="B25" s="201" t="str">
        <f>IF(A25&lt;&gt;"",LOOKUP(A25,SpecialAttacks!$A$2:$A$47,SpecialAttacks!$V$2:$V$47),"")</f>
        <v/>
      </c>
      <c r="C25" s="227" t="str">
        <f>IF(A25&lt;&gt;"",LOOKUP(A25,SpecialAttacks!$A$2:$A$47,SpecialAttacks!$N$2:$N$47),"")</f>
        <v/>
      </c>
      <c r="D25" s="204" t="str">
        <f>IF(A25&lt;&gt;"",LOOKUP(A25,SpecialAttacks!$A$2:$A$47,SpecialAttacks!$Q$2:$Q$47),"")</f>
        <v/>
      </c>
      <c r="E25" s="227" t="str">
        <f>IF(A25&lt;&gt;"",LOOKUP(A25,SpecialAttacks!$A$2:$A$47,SpecialAttacks!$P$2:$P$47),"")</f>
        <v/>
      </c>
      <c r="F25" s="225" t="str">
        <f>IF(A25&lt;&gt;"",LOOKUP(A25,SpecialAttacks!$A$2:$A$47,SpecialAttacks!$R$2:$R$47),"")</f>
        <v/>
      </c>
      <c r="G25" s="227" t="str">
        <f>IF(A25&lt;&gt;"",LOOKUP(A25,SpecialAttacks!$A$2:$A$47,SpecialAttacks!$W$2:$W$47),"")</f>
        <v/>
      </c>
      <c r="H25" s="204" t="str">
        <f>IF(A25&lt;&gt;"",LOOKUP(A25,SpecialAttacks!$A$2:$A$47,SpecialAttacks!$X$2:$X$47),"")</f>
        <v/>
      </c>
      <c r="I25" s="228" t="str">
        <f>IF(A25&lt;&gt;"",LOOKUP(A25,SpecialAttacks!$A$2:$A$47,SpecialAttacks!$Y$2:$Y$47),"")</f>
        <v/>
      </c>
      <c r="J25" s="229"/>
      <c r="K25" s="197"/>
      <c r="L25" s="197"/>
      <c r="M25" s="198"/>
    </row>
    <row r="26" spans="1:13">
      <c r="A26" s="44" t="str">
        <f>IF(CritterSheet!$B$1="White Mandare","Quantum","")</f>
        <v/>
      </c>
      <c r="B26" s="202" t="str">
        <f>IF(A26&lt;&gt;"",LOOKUP(A26,SpecialAttacks!$A$2:$A$47,SpecialAttacks!$V$2:$V$47),"")</f>
        <v/>
      </c>
      <c r="C26" s="62" t="str">
        <f>IF(A26&lt;&gt;"",LOOKUP(A26,SpecialAttacks!$A$2:$A$47,SpecialAttacks!$N$2:$N$47),"")</f>
        <v/>
      </c>
      <c r="D26" s="61" t="str">
        <f>IF(A26&lt;&gt;"",LOOKUP(A26,SpecialAttacks!$A$2:$A$47,SpecialAttacks!$Q$2:$Q$47),"")</f>
        <v/>
      </c>
      <c r="E26" s="62" t="str">
        <f>IF(A26&lt;&gt;"",LOOKUP(A26,SpecialAttacks!$A$2:$A$47,SpecialAttacks!$P$2:$P$47),"")</f>
        <v/>
      </c>
      <c r="F26" s="226" t="str">
        <f>IF(A26&lt;&gt;"",LOOKUP(A26,SpecialAttacks!$A$2:$A$47,SpecialAttacks!$R$2:$R$47),"")</f>
        <v/>
      </c>
      <c r="G26" s="62" t="str">
        <f>IF(A26&lt;&gt;"",LOOKUP(A26,SpecialAttacks!$A$2:$A$47,SpecialAttacks!$W$2:$W$47),"")</f>
        <v/>
      </c>
      <c r="H26" s="61" t="str">
        <f>IF(A26&lt;&gt;"",LOOKUP(A26,SpecialAttacks!$A$2:$A$47,SpecialAttacks!$X$2:$X$47),"")</f>
        <v/>
      </c>
      <c r="I26" s="215" t="str">
        <f>IF(A26&lt;&gt;"",LOOKUP(A26,SpecialAttacks!$A$2:$A$47,SpecialAttacks!$Y$2:$Y$47),"")</f>
        <v/>
      </c>
      <c r="J26" s="13"/>
      <c r="K26" s="4"/>
      <c r="L26" s="10"/>
      <c r="M26" s="45"/>
    </row>
    <row r="27" spans="1:13">
      <c r="A27" s="206" t="str">
        <f>IF(CritterSheet!$B$1="White Mandare","Shield","")</f>
        <v/>
      </c>
      <c r="B27" s="201" t="str">
        <f>IF(A27&lt;&gt;"",LOOKUP(A27,SpecialAttacks!$A$2:$A$47,SpecialAttacks!$V$2:$V$47),"")</f>
        <v/>
      </c>
      <c r="C27" s="227" t="str">
        <f>IF(A27&lt;&gt;"",LOOKUP(A27,SpecialAttacks!$A$2:$A$47,SpecialAttacks!$N$2:$N$47),"")</f>
        <v/>
      </c>
      <c r="D27" s="204" t="str">
        <f>IF(A27&lt;&gt;"",LOOKUP(A27,SpecialAttacks!$A$2:$A$47,SpecialAttacks!$Q$2:$Q$47),"")</f>
        <v/>
      </c>
      <c r="E27" s="227" t="str">
        <f>IF(A27&lt;&gt;"",LOOKUP(A27,SpecialAttacks!$A$2:$A$47,SpecialAttacks!$P$2:$P$47),"")</f>
        <v/>
      </c>
      <c r="F27" s="225" t="str">
        <f>IF(A27&lt;&gt;"",LOOKUP(A27,SpecialAttacks!$A$2:$A$47,SpecialAttacks!$R$2:$R$47),"")</f>
        <v/>
      </c>
      <c r="G27" s="227" t="str">
        <f>IF(A27&lt;&gt;"",LOOKUP(A27,SpecialAttacks!$A$2:$A$47,SpecialAttacks!$W$2:$W$47),"")</f>
        <v/>
      </c>
      <c r="H27" s="204" t="str">
        <f>IF(A27&lt;&gt;"",LOOKUP(A27,SpecialAttacks!$A$2:$A$47,SpecialAttacks!$X$2:$X$47),"")</f>
        <v/>
      </c>
      <c r="I27" s="228" t="str">
        <f>IF(A27&lt;&gt;"",LOOKUP(A27,SpecialAttacks!$A$2:$A$47,SpecialAttacks!$Y$2:$Y$47),"")</f>
        <v/>
      </c>
      <c r="J27" s="229"/>
      <c r="K27" s="197"/>
      <c r="L27" s="197"/>
      <c r="M27" s="198"/>
    </row>
    <row r="28" spans="1:13">
      <c r="A28" s="44" t="str">
        <f>IF(CritterSheet!$B$1="White Mandare","Shield Implostion","")</f>
        <v/>
      </c>
      <c r="B28" s="202" t="str">
        <f>IF(A28&lt;&gt;"",LOOKUP(A28,SpecialAttacks!$A$2:$A$47,SpecialAttacks!$V$2:$V$47),"")</f>
        <v/>
      </c>
      <c r="C28" s="62" t="str">
        <f>IF(A28&lt;&gt;"",LOOKUP(A28,SpecialAttacks!$A$2:$A$47,SpecialAttacks!$N$2:$N$47),"")</f>
        <v/>
      </c>
      <c r="D28" s="61" t="str">
        <f>IF(A28&lt;&gt;"",LOOKUP(A28,SpecialAttacks!$A$2:$A$47,SpecialAttacks!$Q$2:$Q$47),"")</f>
        <v/>
      </c>
      <c r="E28" s="62" t="str">
        <f>IF(A28&lt;&gt;"",LOOKUP(A28,SpecialAttacks!$A$2:$A$47,SpecialAttacks!$P$2:$P$47),"")</f>
        <v/>
      </c>
      <c r="F28" s="226" t="str">
        <f>IF(A28&lt;&gt;"",LOOKUP(A28,SpecialAttacks!$A$2:$A$47,SpecialAttacks!$R$2:$R$47),"")</f>
        <v/>
      </c>
      <c r="G28" s="62" t="str">
        <f>IF(A28&lt;&gt;"",LOOKUP(A28,SpecialAttacks!$A$2:$A$47,SpecialAttacks!$W$2:$W$47),"")</f>
        <v/>
      </c>
      <c r="H28" s="61" t="str">
        <f>IF(A28&lt;&gt;"",LOOKUP(A28,SpecialAttacks!$A$2:$A$47,SpecialAttacks!$X$2:$X$47),"")</f>
        <v/>
      </c>
      <c r="I28" s="215" t="str">
        <f>IF(A28&lt;&gt;"",LOOKUP(A28,SpecialAttacks!$A$2:$A$47,SpecialAttacks!$Y$2:$Y$47),"")</f>
        <v/>
      </c>
      <c r="J28" s="13"/>
      <c r="K28" s="4"/>
      <c r="L28" s="10"/>
      <c r="M28" s="45"/>
    </row>
    <row r="29" spans="1:13">
      <c r="A29" s="206" t="str">
        <f>IF(CritterSheet!$B$1="White Mandare","Shield Shatter","")</f>
        <v/>
      </c>
      <c r="B29" s="201" t="str">
        <f>IF(A29&lt;&gt;"",LOOKUP(A29,SpecialAttacks!$A$2:$A$47,SpecialAttacks!$V$2:$V$47),"")</f>
        <v/>
      </c>
      <c r="C29" s="227" t="str">
        <f>IF(A29&lt;&gt;"",LOOKUP(A29,SpecialAttacks!$A$2:$A$47,SpecialAttacks!$N$2:$N$47),"")</f>
        <v/>
      </c>
      <c r="D29" s="204" t="str">
        <f>IF(A29&lt;&gt;"",LOOKUP(A29,SpecialAttacks!$A$2:$A$47,SpecialAttacks!$Q$2:$Q$47),"")</f>
        <v/>
      </c>
      <c r="E29" s="227" t="str">
        <f>IF(A29&lt;&gt;"",LOOKUP(A29,SpecialAttacks!$A$2:$A$47,SpecialAttacks!$P$2:$P$47),"")</f>
        <v/>
      </c>
      <c r="F29" s="225" t="str">
        <f>IF(A29&lt;&gt;"",LOOKUP(A29,SpecialAttacks!$A$2:$A$47,SpecialAttacks!$R$2:$R$47),"")</f>
        <v/>
      </c>
      <c r="G29" s="227" t="str">
        <f>IF(A29&lt;&gt;"",LOOKUP(A29,SpecialAttacks!$A$2:$A$47,SpecialAttacks!$W$2:$W$47),"")</f>
        <v/>
      </c>
      <c r="H29" s="204" t="str">
        <f>IF(A29&lt;&gt;"",LOOKUP(A29,SpecialAttacks!$A$2:$A$47,SpecialAttacks!$X$2:$X$47),"")</f>
        <v/>
      </c>
      <c r="I29" s="228" t="str">
        <f>IF(A29&lt;&gt;"",LOOKUP(A29,SpecialAttacks!$A$2:$A$47,SpecialAttacks!$Y$2:$Y$47),"")</f>
        <v/>
      </c>
      <c r="J29" s="229"/>
      <c r="K29" s="197"/>
      <c r="L29" s="197"/>
      <c r="M29" s="198"/>
    </row>
    <row r="30" spans="1:13">
      <c r="A30" s="44" t="str">
        <f>IF(CritterSheet!$B$1="White Mandare","Spinner","")</f>
        <v/>
      </c>
      <c r="B30" s="202" t="str">
        <f>IF(A30&lt;&gt;"",LOOKUP(A30,SpecialAttacks!$A$2:$A$47,SpecialAttacks!$V$2:$V$47),"")</f>
        <v/>
      </c>
      <c r="C30" s="62" t="str">
        <f>IF(A30&lt;&gt;"",LOOKUP(A30,SpecialAttacks!$A$2:$A$47,SpecialAttacks!$N$2:$N$47),"")</f>
        <v/>
      </c>
      <c r="D30" s="61" t="str">
        <f>IF(A30&lt;&gt;"",LOOKUP(A30,SpecialAttacks!$A$2:$A$47,SpecialAttacks!$Q$2:$Q$47),"")</f>
        <v/>
      </c>
      <c r="E30" s="62" t="str">
        <f>IF(A30&lt;&gt;"",LOOKUP(A30,SpecialAttacks!$A$2:$A$47,SpecialAttacks!$P$2:$P$47),"")</f>
        <v/>
      </c>
      <c r="F30" s="226" t="str">
        <f>IF(A30&lt;&gt;"",LOOKUP(A30,SpecialAttacks!$A$2:$A$47,SpecialAttacks!$R$2:$R$47),"")</f>
        <v/>
      </c>
      <c r="G30" s="62" t="str">
        <f>IF(A30&lt;&gt;"",LOOKUP(A30,SpecialAttacks!$A$2:$A$47,SpecialAttacks!$W$2:$W$47),"")</f>
        <v/>
      </c>
      <c r="H30" s="61" t="str">
        <f>IF(A30&lt;&gt;"",LOOKUP(A30,SpecialAttacks!$A$2:$A$47,SpecialAttacks!$X$2:$X$47),"")</f>
        <v/>
      </c>
      <c r="I30" s="215" t="str">
        <f>IF(A30&lt;&gt;"",LOOKUP(A30,SpecialAttacks!$A$2:$A$47,SpecialAttacks!$Y$2:$Y$47),"")</f>
        <v/>
      </c>
      <c r="J30" s="13"/>
      <c r="K30" s="4"/>
      <c r="L30" s="10"/>
      <c r="M30" s="45"/>
    </row>
    <row r="31" spans="1:13">
      <c r="A31" s="206" t="str">
        <f>IF(CritterSheet!$B$1="White Mandare","Stiff","")</f>
        <v/>
      </c>
      <c r="B31" s="201" t="str">
        <f>IF(A31&lt;&gt;"",LOOKUP(A31,SpecialAttacks!$A$2:$A$47,SpecialAttacks!$V$2:$V$47),"")</f>
        <v/>
      </c>
      <c r="C31" s="227" t="str">
        <f>IF(A31&lt;&gt;"",LOOKUP(A31,SpecialAttacks!$A$2:$A$47,SpecialAttacks!$N$2:$N$47),"")</f>
        <v/>
      </c>
      <c r="D31" s="204" t="str">
        <f>IF(A31&lt;&gt;"",LOOKUP(A31,SpecialAttacks!$A$2:$A$47,SpecialAttacks!$Q$2:$Q$47),"")</f>
        <v/>
      </c>
      <c r="E31" s="227" t="str">
        <f>IF(A31&lt;&gt;"",LOOKUP(A31,SpecialAttacks!$A$2:$A$47,SpecialAttacks!$P$2:$P$47),"")</f>
        <v/>
      </c>
      <c r="F31" s="225" t="str">
        <f>IF(A31&lt;&gt;"",LOOKUP(A31,SpecialAttacks!$A$2:$A$47,SpecialAttacks!$R$2:$R$47),"")</f>
        <v/>
      </c>
      <c r="G31" s="227" t="str">
        <f>IF(A31&lt;&gt;"",LOOKUP(A31,SpecialAttacks!$A$2:$A$47,SpecialAttacks!$W$2:$W$47),"")</f>
        <v/>
      </c>
      <c r="H31" s="204" t="str">
        <f>IF(A31&lt;&gt;"",LOOKUP(A31,SpecialAttacks!$A$2:$A$47,SpecialAttacks!$X$2:$X$47),"")</f>
        <v/>
      </c>
      <c r="I31" s="228" t="str">
        <f>IF(A31&lt;&gt;"",LOOKUP(A31,SpecialAttacks!$A$2:$A$47,SpecialAttacks!$Y$2:$Y$47),"")</f>
        <v/>
      </c>
      <c r="J31" s="229"/>
      <c r="K31" s="197"/>
      <c r="L31" s="197"/>
      <c r="M31" s="198"/>
    </row>
    <row r="32" spans="1:13">
      <c r="A32" s="44" t="str">
        <f>IF(CritterSheet!$B$1="White Mandare","Suspension Orb","")</f>
        <v/>
      </c>
      <c r="B32" s="202" t="str">
        <f>IF(A32&lt;&gt;"",LOOKUP(A32,SpecialAttacks!$A$2:$A$47,SpecialAttacks!$V$2:$V$47),"")</f>
        <v/>
      </c>
      <c r="C32" s="62" t="str">
        <f>IF(A32&lt;&gt;"",LOOKUP(A32,SpecialAttacks!$A$2:$A$47,SpecialAttacks!$N$2:$N$47),"")</f>
        <v/>
      </c>
      <c r="D32" s="61" t="str">
        <f>IF(A32&lt;&gt;"",LOOKUP(A32,SpecialAttacks!$A$2:$A$47,SpecialAttacks!$Q$2:$Q$47),"")</f>
        <v/>
      </c>
      <c r="E32" s="62" t="str">
        <f>IF(A32&lt;&gt;"",LOOKUP(A32,SpecialAttacks!$A$2:$A$47,SpecialAttacks!$P$2:$P$47),"")</f>
        <v/>
      </c>
      <c r="F32" s="226" t="str">
        <f>IF(A32&lt;&gt;"",LOOKUP(A32,SpecialAttacks!$A$2:$A$47,SpecialAttacks!$R$2:$R$47),"")</f>
        <v/>
      </c>
      <c r="G32" s="62" t="str">
        <f>IF(A32&lt;&gt;"",LOOKUP(A32,SpecialAttacks!$A$2:$A$47,SpecialAttacks!$W$2:$W$47),"")</f>
        <v/>
      </c>
      <c r="H32" s="61" t="str">
        <f>IF(A32&lt;&gt;"",LOOKUP(A32,SpecialAttacks!$A$2:$A$47,SpecialAttacks!$X$2:$X$47),"")</f>
        <v/>
      </c>
      <c r="I32" s="215" t="str">
        <f>IF(A32&lt;&gt;"",LOOKUP(A32,SpecialAttacks!$A$2:$A$47,SpecialAttacks!$Y$2:$Y$47),"")</f>
        <v/>
      </c>
      <c r="J32" s="13"/>
      <c r="K32" s="4"/>
      <c r="L32" s="10"/>
      <c r="M32" s="45"/>
    </row>
    <row r="33" spans="1:13">
      <c r="A33" s="206" t="str">
        <f>IF(CritterSheet!$B$1="White Mandare","Tumble","")</f>
        <v/>
      </c>
      <c r="B33" s="201" t="str">
        <f>IF(A33&lt;&gt;"",LOOKUP(A33,SpecialAttacks!$A$2:$A$47,SpecialAttacks!$V$2:$V$47),"")</f>
        <v/>
      </c>
      <c r="C33" s="227" t="str">
        <f>IF(A33&lt;&gt;"",LOOKUP(A33,SpecialAttacks!$A$2:$A$47,SpecialAttacks!$N$2:$N$47),"")</f>
        <v/>
      </c>
      <c r="D33" s="204" t="str">
        <f>IF(A33&lt;&gt;"",LOOKUP(A33,SpecialAttacks!$A$2:$A$47,SpecialAttacks!$Q$2:$Q$47),"")</f>
        <v/>
      </c>
      <c r="E33" s="227" t="str">
        <f>IF(A33&lt;&gt;"",LOOKUP(A33,SpecialAttacks!$A$2:$A$47,SpecialAttacks!$P$2:$P$47),"")</f>
        <v/>
      </c>
      <c r="F33" s="225" t="str">
        <f>IF(A33&lt;&gt;"",LOOKUP(A33,SpecialAttacks!$A$2:$A$47,SpecialAttacks!$R$2:$R$47),"")</f>
        <v/>
      </c>
      <c r="G33" s="227" t="str">
        <f>IF(A33&lt;&gt;"",LOOKUP(A33,SpecialAttacks!$A$2:$A$47,SpecialAttacks!$W$2:$W$47),"")</f>
        <v/>
      </c>
      <c r="H33" s="204" t="str">
        <f>IF(A33&lt;&gt;"",LOOKUP(A33,SpecialAttacks!$A$2:$A$47,SpecialAttacks!$X$2:$X$47),"")</f>
        <v/>
      </c>
      <c r="I33" s="228" t="str">
        <f>IF(A33&lt;&gt;"",LOOKUP(A33,SpecialAttacks!$A$2:$A$47,SpecialAttacks!$Y$2:$Y$47),"")</f>
        <v/>
      </c>
      <c r="J33" s="229"/>
      <c r="K33" s="197"/>
      <c r="L33" s="197"/>
      <c r="M33" s="198"/>
    </row>
    <row r="34" spans="1:13">
      <c r="A34" s="44" t="str">
        <f>IF(CritterSheet!$B$1="White Mandare","Wall","")</f>
        <v/>
      </c>
      <c r="B34" s="202" t="str">
        <f>IF(A34&lt;&gt;"",LOOKUP(A34,SpecialAttacks!$A$2:$A$47,SpecialAttacks!$V$2:$V$47),"")</f>
        <v/>
      </c>
      <c r="C34" s="62" t="str">
        <f>IF(A34&lt;&gt;"",LOOKUP(A34,SpecialAttacks!$A$2:$A$47,SpecialAttacks!$N$2:$N$47),"")</f>
        <v/>
      </c>
      <c r="D34" s="61" t="str">
        <f>IF(A34&lt;&gt;"",LOOKUP(A34,SpecialAttacks!$A$2:$A$47,SpecialAttacks!$Q$2:$Q$47),"")</f>
        <v/>
      </c>
      <c r="E34" s="62" t="str">
        <f>IF(A34&lt;&gt;"",LOOKUP(A34,SpecialAttacks!$A$2:$A$47,SpecialAttacks!$P$2:$P$47),"")</f>
        <v/>
      </c>
      <c r="F34" s="226" t="str">
        <f>IF(A34&lt;&gt;"",LOOKUP(A34,SpecialAttacks!$A$2:$A$47,SpecialAttacks!$R$2:$R$47),"")</f>
        <v/>
      </c>
      <c r="G34" s="62" t="str">
        <f>IF(A34&lt;&gt;"",LOOKUP(A34,SpecialAttacks!$A$2:$A$47,SpecialAttacks!$W$2:$W$47),"")</f>
        <v/>
      </c>
      <c r="H34" s="61" t="str">
        <f>IF(A34&lt;&gt;"",LOOKUP(A34,SpecialAttacks!$A$2:$A$47,SpecialAttacks!$X$2:$X$47),"")</f>
        <v/>
      </c>
      <c r="I34" s="215" t="str">
        <f>IF(A34&lt;&gt;"",LOOKUP(A34,SpecialAttacks!$A$2:$A$47,SpecialAttacks!$Y$2:$Y$47),"")</f>
        <v/>
      </c>
      <c r="J34" s="13"/>
      <c r="K34" s="4"/>
      <c r="L34" s="10"/>
      <c r="M34" s="45"/>
    </row>
    <row r="35" spans="1:13">
      <c r="A35" s="33"/>
      <c r="B35" s="12"/>
      <c r="C35" s="12"/>
      <c r="D35" s="12"/>
      <c r="E35" s="12"/>
      <c r="F35" s="74"/>
      <c r="G35" s="12"/>
      <c r="H35" s="2"/>
      <c r="I35" s="51"/>
      <c r="J35" s="2"/>
      <c r="K35" s="2"/>
      <c r="L35" s="51"/>
      <c r="M35" s="52"/>
    </row>
    <row r="36" spans="1:13">
      <c r="A36" s="33"/>
      <c r="B36" s="12"/>
      <c r="C36" s="12"/>
      <c r="D36" s="12"/>
      <c r="E36" s="12"/>
      <c r="F36" s="74"/>
      <c r="G36" s="12"/>
      <c r="H36" s="2"/>
      <c r="I36" s="2"/>
      <c r="J36" s="75"/>
      <c r="K36" s="47"/>
      <c r="L36" s="76"/>
      <c r="M36" s="23"/>
    </row>
    <row r="37" spans="1:13">
      <c r="A37" s="33"/>
      <c r="B37" s="12"/>
      <c r="C37" s="12"/>
      <c r="D37" s="12"/>
      <c r="E37" s="12"/>
      <c r="F37" s="74"/>
      <c r="G37" s="12"/>
      <c r="H37" s="2"/>
      <c r="I37" s="51"/>
      <c r="J37" s="2"/>
      <c r="K37" s="2"/>
      <c r="L37" s="51"/>
      <c r="M37" s="52"/>
    </row>
    <row r="38" spans="1:13">
      <c r="A38" s="33"/>
      <c r="B38" s="12"/>
      <c r="C38" s="12"/>
      <c r="D38" s="12"/>
      <c r="E38" s="12"/>
      <c r="F38" s="74"/>
      <c r="G38" s="12"/>
      <c r="H38" s="2"/>
      <c r="I38" s="2"/>
      <c r="J38" s="75"/>
      <c r="K38" s="47"/>
      <c r="L38" s="76"/>
      <c r="M38" s="23"/>
    </row>
    <row r="39" spans="1:13">
      <c r="A39" s="33"/>
      <c r="B39" s="12"/>
      <c r="C39" s="12"/>
      <c r="D39" s="12"/>
      <c r="E39" s="14"/>
      <c r="F39" s="14"/>
      <c r="G39" s="14"/>
      <c r="H39" s="2"/>
      <c r="I39" s="51"/>
      <c r="J39" s="2"/>
      <c r="K39" s="2"/>
      <c r="L39" s="51"/>
      <c r="M39" s="52"/>
    </row>
    <row r="40" spans="1:13">
      <c r="A40" s="33"/>
      <c r="B40" s="12"/>
      <c r="C40" s="12"/>
      <c r="D40" s="12"/>
      <c r="E40" s="293"/>
      <c r="F40" s="16"/>
      <c r="G40" s="293"/>
      <c r="H40" s="2"/>
      <c r="I40" s="2"/>
      <c r="J40" s="75"/>
      <c r="K40" s="47"/>
      <c r="L40" s="76"/>
      <c r="M40" s="23"/>
    </row>
    <row r="41" spans="1:13">
      <c r="A41" s="33"/>
      <c r="B41" s="12"/>
      <c r="C41" s="12"/>
      <c r="D41" s="12"/>
      <c r="E41" s="16"/>
      <c r="F41" s="16"/>
      <c r="G41" s="293"/>
      <c r="H41" s="2"/>
      <c r="I41" s="51"/>
      <c r="J41" s="2"/>
      <c r="K41" s="2"/>
      <c r="L41" s="51"/>
      <c r="M41" s="52"/>
    </row>
    <row r="42" spans="1:13">
      <c r="A42" s="53"/>
      <c r="B42" s="12"/>
      <c r="C42" s="12"/>
      <c r="D42" s="12"/>
      <c r="E42" s="16"/>
      <c r="F42" s="16"/>
      <c r="G42" s="16"/>
      <c r="H42" s="2"/>
      <c r="I42" s="2"/>
      <c r="J42" s="75"/>
      <c r="K42" s="47"/>
      <c r="L42" s="76"/>
      <c r="M42" s="23"/>
    </row>
    <row r="43" spans="1:13">
      <c r="A43" s="33"/>
      <c r="B43" s="12"/>
      <c r="C43" s="12"/>
      <c r="D43" s="12"/>
      <c r="E43" s="16"/>
      <c r="F43" s="16"/>
      <c r="G43" s="16"/>
      <c r="H43" s="2"/>
      <c r="I43" s="51"/>
      <c r="J43" s="2"/>
      <c r="K43" s="2"/>
      <c r="L43" s="51"/>
      <c r="M43" s="52"/>
    </row>
    <row r="44" spans="1:13">
      <c r="A44" s="29"/>
      <c r="B44" s="11"/>
      <c r="C44" s="11"/>
      <c r="D44" s="11"/>
      <c r="E44" s="66"/>
      <c r="F44" s="66"/>
      <c r="G44" s="66"/>
      <c r="H44" s="2"/>
      <c r="I44" s="2"/>
      <c r="J44" s="75"/>
      <c r="K44" s="47"/>
      <c r="L44" s="76"/>
      <c r="M44" s="23"/>
    </row>
    <row r="45" spans="1:13">
      <c r="A45" s="53"/>
      <c r="B45" s="12"/>
      <c r="C45" s="12"/>
      <c r="D45" s="12"/>
      <c r="E45" s="16"/>
      <c r="F45" s="16"/>
      <c r="G45" s="16"/>
      <c r="H45" s="2"/>
      <c r="I45" s="51"/>
      <c r="J45" s="2"/>
      <c r="K45" s="2"/>
      <c r="L45" s="51"/>
      <c r="M45" s="52"/>
    </row>
    <row r="46" spans="1:13">
      <c r="A46" s="22"/>
      <c r="B46" s="14"/>
      <c r="C46" s="14"/>
      <c r="D46" s="14"/>
      <c r="E46" s="293"/>
      <c r="F46" s="16"/>
      <c r="G46" s="293"/>
      <c r="H46" s="2"/>
      <c r="I46" s="2"/>
      <c r="J46" s="2"/>
      <c r="K46" s="47"/>
      <c r="L46" s="76"/>
      <c r="M46" s="23"/>
    </row>
    <row r="47" spans="1:13">
      <c r="A47" s="53"/>
      <c r="B47" s="14"/>
      <c r="C47" s="14"/>
      <c r="D47" s="14"/>
      <c r="E47" s="293"/>
      <c r="F47" s="16"/>
      <c r="G47" s="293"/>
      <c r="H47" s="2"/>
      <c r="I47" s="51"/>
      <c r="J47" s="2"/>
      <c r="K47" s="2"/>
      <c r="L47" s="51"/>
      <c r="M47" s="52"/>
    </row>
    <row r="48" spans="1:13">
      <c r="A48" s="33"/>
      <c r="B48" s="14"/>
      <c r="C48" s="14"/>
      <c r="D48" s="14"/>
      <c r="E48" s="16"/>
      <c r="F48" s="16"/>
      <c r="G48" s="16"/>
      <c r="H48" s="2"/>
      <c r="I48" s="2"/>
      <c r="J48" s="2"/>
      <c r="K48" s="47"/>
      <c r="L48" s="76"/>
      <c r="M48" s="23"/>
    </row>
    <row r="49" spans="1:13">
      <c r="A49" s="53"/>
      <c r="B49" s="14"/>
      <c r="C49" s="14"/>
      <c r="D49" s="14"/>
      <c r="E49" s="16"/>
      <c r="F49" s="16"/>
      <c r="G49" s="16"/>
      <c r="H49" s="2"/>
      <c r="I49" s="51"/>
      <c r="J49" s="2"/>
      <c r="K49" s="2"/>
      <c r="L49" s="51"/>
      <c r="M49" s="52"/>
    </row>
    <row r="50" spans="1:13">
      <c r="A50" s="33"/>
      <c r="B50" s="14"/>
      <c r="C50" s="14"/>
      <c r="D50" s="14"/>
      <c r="E50" s="16"/>
      <c r="F50" s="16"/>
      <c r="G50" s="16"/>
      <c r="H50" s="2"/>
      <c r="I50" s="51"/>
      <c r="J50" s="2"/>
      <c r="K50" s="2"/>
      <c r="L50" s="51"/>
      <c r="M50" s="52"/>
    </row>
    <row r="51" spans="1:13" ht="14" thickBot="1">
      <c r="A51" s="24"/>
      <c r="B51" s="28"/>
      <c r="C51" s="28"/>
      <c r="D51" s="28"/>
      <c r="E51" s="28"/>
      <c r="F51" s="28"/>
      <c r="G51" s="28"/>
      <c r="H51" s="28"/>
      <c r="I51" s="114"/>
      <c r="J51" s="28"/>
      <c r="K51" s="28"/>
      <c r="L51" s="114"/>
      <c r="M51" s="71"/>
    </row>
  </sheetData>
  <sheetProtection sheet="1" objects="1" scenarios="1"/>
  <phoneticPr fontId="0" type="noConversion"/>
  <pageMargins left="0.75" right="0.75" top="1" bottom="1" header="0.5" footer="0.5"/>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B51"/>
  <sheetViews>
    <sheetView showZeros="0" workbookViewId="0">
      <selection activeCell="C18" sqref="C18"/>
    </sheetView>
  </sheetViews>
  <sheetFormatPr baseColWidth="10" defaultColWidth="11" defaultRowHeight="13"/>
  <cols>
    <col min="1" max="1" width="19" customWidth="1"/>
    <col min="7" max="7" width="12.83203125" customWidth="1"/>
    <col min="8" max="8" width="16.83203125" customWidth="1"/>
    <col min="10" max="10" width="6.83203125" customWidth="1"/>
    <col min="11" max="11" width="16.83203125" customWidth="1"/>
    <col min="12" max="12" width="6.83203125" customWidth="1"/>
    <col min="13" max="13" width="13.1640625" customWidth="1"/>
  </cols>
  <sheetData>
    <row r="1" spans="1:28">
      <c r="A1" s="19" t="s">
        <v>1151</v>
      </c>
      <c r="B1" s="129">
        <f ca="1">CritterSheet!E14</f>
        <v>6</v>
      </c>
      <c r="C1" s="49" t="s">
        <v>971</v>
      </c>
      <c r="D1" s="69"/>
      <c r="E1" s="127">
        <f ca="1">CritterSheet!E9</f>
        <v>10</v>
      </c>
      <c r="F1" s="37"/>
      <c r="G1" s="37"/>
      <c r="H1" s="37"/>
      <c r="I1" s="37"/>
      <c r="J1" s="37"/>
      <c r="K1" s="37"/>
      <c r="L1" s="37"/>
      <c r="M1" s="78"/>
      <c r="N1" s="96"/>
      <c r="O1" s="95"/>
      <c r="P1" s="95"/>
      <c r="Q1" s="95"/>
      <c r="R1" s="95"/>
      <c r="S1" s="95"/>
      <c r="T1" s="95"/>
      <c r="U1" s="95"/>
      <c r="V1" s="95"/>
      <c r="W1" s="95"/>
      <c r="X1" s="95"/>
      <c r="Y1" s="95"/>
      <c r="Z1" s="95"/>
      <c r="AA1" s="95"/>
      <c r="AB1" s="95"/>
    </row>
    <row r="2" spans="1:28">
      <c r="A2" s="120" t="s">
        <v>1863</v>
      </c>
      <c r="B2" s="130">
        <f ca="1">(CritterSheet!E9+CritterSheet!E14)*3</f>
        <v>48</v>
      </c>
      <c r="C2" s="15" t="s">
        <v>1209</v>
      </c>
      <c r="D2" s="2"/>
      <c r="E2" s="128"/>
      <c r="F2" s="2"/>
      <c r="G2" s="2"/>
      <c r="H2" s="2"/>
      <c r="I2" s="2"/>
      <c r="J2" s="2"/>
      <c r="K2" s="2"/>
      <c r="L2" s="2"/>
      <c r="M2" s="52"/>
    </row>
    <row r="3" spans="1:28">
      <c r="A3" s="121" t="s">
        <v>1007</v>
      </c>
      <c r="B3" s="70">
        <f ca="1">(B2)+(B1+CritterSheet!E13)/2</f>
        <v>58</v>
      </c>
      <c r="C3" s="79" t="s">
        <v>1006</v>
      </c>
      <c r="D3" s="126"/>
      <c r="E3" s="223">
        <f ca="1">(E1+E2)+(CritterSheet!E9+CritterSheet!E13)/2</f>
        <v>22</v>
      </c>
      <c r="F3" s="2"/>
      <c r="G3" s="2"/>
      <c r="H3" s="2"/>
      <c r="I3" s="2"/>
      <c r="J3" s="2"/>
      <c r="K3" s="2"/>
      <c r="L3" s="2"/>
      <c r="M3" s="52"/>
    </row>
    <row r="4" spans="1:28">
      <c r="A4" s="50"/>
      <c r="B4" s="2"/>
      <c r="C4" s="1"/>
      <c r="D4" s="2"/>
      <c r="E4" s="284" t="s">
        <v>831</v>
      </c>
      <c r="F4" s="2"/>
      <c r="G4" s="2"/>
      <c r="H4" s="2"/>
      <c r="I4" s="2"/>
      <c r="J4" s="2"/>
      <c r="K4" s="2"/>
      <c r="L4" s="2"/>
      <c r="M4" s="52"/>
    </row>
    <row r="5" spans="1:28">
      <c r="A5" s="22"/>
      <c r="B5" s="2"/>
      <c r="C5" s="1"/>
      <c r="D5" s="2"/>
      <c r="E5" s="285" t="s">
        <v>827</v>
      </c>
      <c r="F5" s="2"/>
      <c r="G5" s="2"/>
      <c r="H5" s="2"/>
      <c r="I5" s="2"/>
      <c r="J5" s="2"/>
      <c r="K5" s="2"/>
      <c r="L5" s="2"/>
      <c r="M5" s="52"/>
    </row>
    <row r="6" spans="1:28" ht="14" thickBot="1">
      <c r="A6" s="122"/>
      <c r="B6" s="25"/>
      <c r="C6" s="63"/>
      <c r="D6" s="65"/>
      <c r="E6" s="286" t="s">
        <v>828</v>
      </c>
      <c r="F6" s="2"/>
      <c r="G6" s="2"/>
      <c r="H6" s="2"/>
      <c r="I6" s="2"/>
      <c r="J6" s="2"/>
      <c r="K6" s="2"/>
      <c r="L6" s="2"/>
      <c r="M6" s="52"/>
    </row>
    <row r="7" spans="1:28" ht="14" thickBot="1">
      <c r="A7" s="33"/>
      <c r="B7" s="16"/>
      <c r="C7" s="16"/>
      <c r="D7" s="2"/>
      <c r="E7" s="2"/>
      <c r="F7" s="2"/>
      <c r="G7" s="2"/>
      <c r="H7" s="2"/>
      <c r="I7" s="2"/>
      <c r="J7" s="2"/>
      <c r="K7" s="2"/>
      <c r="L7" s="2"/>
      <c r="M7" s="52"/>
    </row>
    <row r="8" spans="1:28">
      <c r="A8" s="32" t="s">
        <v>1938</v>
      </c>
      <c r="B8" s="102" t="s">
        <v>1243</v>
      </c>
      <c r="C8" s="107" t="s">
        <v>1916</v>
      </c>
      <c r="D8" s="107" t="s">
        <v>2370</v>
      </c>
      <c r="E8" s="107" t="s">
        <v>1662</v>
      </c>
      <c r="F8" s="107" t="s">
        <v>1663</v>
      </c>
      <c r="G8" s="107" t="s">
        <v>1689</v>
      </c>
      <c r="H8" s="107" t="s">
        <v>1791</v>
      </c>
      <c r="I8" s="107" t="s">
        <v>2102</v>
      </c>
      <c r="J8" s="107"/>
      <c r="K8" s="222"/>
      <c r="L8" s="69"/>
      <c r="M8" s="131"/>
    </row>
    <row r="9" spans="1:28">
      <c r="A9" s="206" t="str">
        <f>IF(CritterSheet!$B$1="White Mandare","Body Shield","")</f>
        <v/>
      </c>
      <c r="B9" s="201" t="str">
        <f>IF(A9&lt;&gt;"",LOOKUP(A9,SpecialAttacks!$A$2:$A$47,SpecialAttacks!$V$2:$V$47),"")</f>
        <v/>
      </c>
      <c r="C9" s="227" t="str">
        <f>IF(A9&lt;&gt;"",LOOKUP(A9,SpecialAttacks!$A$2:$A$47,SpecialAttacks!$N$2:$N$47),"")</f>
        <v/>
      </c>
      <c r="D9" s="204" t="str">
        <f>IF(A9&lt;&gt;"",LOOKUP(A9,SpecialAttacks!$A$2:$A$47,SpecialAttacks!$Q$2:$Q$47),"")</f>
        <v/>
      </c>
      <c r="E9" s="227" t="str">
        <f>IF(A9&lt;&gt;"",LOOKUP(A9,SpecialAttacks!$A$2:$A$47,SpecialAttacks!$P$2:$P$47),"")</f>
        <v/>
      </c>
      <c r="F9" s="225" t="str">
        <f>IF(A9&lt;&gt;"",LOOKUP(A9,SpecialAttacks!$A$2:$A$47,SpecialAttacks!$R$2:$R$47),"")</f>
        <v/>
      </c>
      <c r="G9" s="227" t="str">
        <f>IF(A9&lt;&gt;"",LOOKUP(A9,SpecialAttacks!$A$2:$A$47,SpecialAttacks!$W$2:$W$47),"")</f>
        <v/>
      </c>
      <c r="H9" s="204" t="str">
        <f>IF(A9&lt;&gt;"",LOOKUP(A9,SpecialAttacks!$A$2:$A$47,SpecialAttacks!$X$2:$X$47),"")</f>
        <v/>
      </c>
      <c r="I9" s="228" t="str">
        <f>IF(A9&lt;&gt;"",LOOKUP(A9,SpecialAttacks!$A$2:$A$47,SpecialAttacks!$Y$2:$Y$47),"")</f>
        <v/>
      </c>
      <c r="J9" s="229"/>
      <c r="K9" s="197"/>
      <c r="L9" s="197"/>
      <c r="M9" s="198"/>
    </row>
    <row r="10" spans="1:28">
      <c r="A10" s="44" t="str">
        <f>IF(CritterSheet!$B$1="White Mandare","Bubble","")</f>
        <v/>
      </c>
      <c r="B10" s="202" t="str">
        <f>IF(A10&lt;&gt;"",LOOKUP(A10,SpecialAttacks!$A$2:$A$47,SpecialAttacks!$V$2:$V$47),"")</f>
        <v/>
      </c>
      <c r="C10" s="62" t="str">
        <f>IF(A10&lt;&gt;"",LOOKUP(A10,SpecialAttacks!$A$2:$A$47,SpecialAttacks!$N$2:$N$47),"")</f>
        <v/>
      </c>
      <c r="D10" s="61" t="str">
        <f>IF(A10&lt;&gt;"",LOOKUP(A10,SpecialAttacks!$A$2:$A$47,SpecialAttacks!$Q$2:$Q$47),"")</f>
        <v/>
      </c>
      <c r="E10" s="62" t="str">
        <f>IF(A10&lt;&gt;"",LOOKUP(A10,SpecialAttacks!$A$2:$A$47,SpecialAttacks!$P$2:$P$47),"")</f>
        <v/>
      </c>
      <c r="F10" s="226" t="str">
        <f>IF(A10&lt;&gt;"",LOOKUP(A10,SpecialAttacks!$A$2:$A$47,SpecialAttacks!$R$2:$R$47),"")</f>
        <v/>
      </c>
      <c r="G10" s="62" t="str">
        <f>IF(A10&lt;&gt;"",LOOKUP(A10,SpecialAttacks!$A$2:$A$47,SpecialAttacks!$W$2:$W$47),"")</f>
        <v/>
      </c>
      <c r="H10" s="61" t="str">
        <f>IF(A10&lt;&gt;"",LOOKUP(A10,SpecialAttacks!$A$2:$A$47,SpecialAttacks!$X$2:$X$47),"")</f>
        <v/>
      </c>
      <c r="I10" s="215" t="str">
        <f>IF(A10&lt;&gt;"",LOOKUP(A10,SpecialAttacks!$A$2:$A$47,SpecialAttacks!$Y$2:$Y$47),"")</f>
        <v/>
      </c>
      <c r="J10" s="13"/>
      <c r="K10" s="4"/>
      <c r="L10" s="10"/>
      <c r="M10" s="45"/>
    </row>
    <row r="11" spans="1:28">
      <c r="A11" s="206" t="str">
        <f>IF(CritterSheet!$B$1="White Mandare","Cage","")</f>
        <v/>
      </c>
      <c r="B11" s="201" t="str">
        <f>IF(A11&lt;&gt;"",LOOKUP(A11,SpecialAttacks!$A$2:$A$47,SpecialAttacks!$V$2:$V$47),"")</f>
        <v/>
      </c>
      <c r="C11" s="227" t="str">
        <f>IF(A11&lt;&gt;"",LOOKUP(A11,SpecialAttacks!$A$2:$A$47,SpecialAttacks!$N$2:$N$47),"")</f>
        <v/>
      </c>
      <c r="D11" s="204" t="str">
        <f>IF(A11&lt;&gt;"",LOOKUP(A11,SpecialAttacks!$A$2:$A$47,SpecialAttacks!$Q$2:$Q$47),"")</f>
        <v/>
      </c>
      <c r="E11" s="227" t="str">
        <f>IF(A11&lt;&gt;"",LOOKUP(A11,SpecialAttacks!$A$2:$A$47,SpecialAttacks!$P$2:$P$47),"")</f>
        <v/>
      </c>
      <c r="F11" s="225" t="str">
        <f>IF(A11&lt;&gt;"",LOOKUP(A11,SpecialAttacks!$A$2:$A$47,SpecialAttacks!$R$2:$R$47),"")</f>
        <v/>
      </c>
      <c r="G11" s="227" t="str">
        <f>IF(A11&lt;&gt;"",LOOKUP(A11,SpecialAttacks!$A$2:$A$47,SpecialAttacks!$W$2:$W$47),"")</f>
        <v/>
      </c>
      <c r="H11" s="204" t="str">
        <f>IF(A11&lt;&gt;"",LOOKUP(A11,SpecialAttacks!$A$2:$A$47,SpecialAttacks!$X$2:$X$47),"")</f>
        <v/>
      </c>
      <c r="I11" s="228" t="str">
        <f>IF(A11&lt;&gt;"",LOOKUP(A11,SpecialAttacks!$A$2:$A$47,SpecialAttacks!$Y$2:$Y$47),"")</f>
        <v/>
      </c>
      <c r="J11" s="229"/>
      <c r="K11" s="197"/>
      <c r="L11" s="197"/>
      <c r="M11" s="198"/>
    </row>
    <row r="12" spans="1:28">
      <c r="A12" s="44" t="str">
        <f>IF(CritterSheet!$B$1="White Mandare","Cast Energy","")</f>
        <v/>
      </c>
      <c r="B12" s="202" t="str">
        <f>IF(A12&lt;&gt;"",LOOKUP(A12,SpecialAttacks!$A$2:$A$47,SpecialAttacks!$V$2:$V$47),"")</f>
        <v/>
      </c>
      <c r="C12" s="62" t="str">
        <f>IF(A12&lt;&gt;"",LOOKUP(A12,SpecialAttacks!$A$2:$A$47,SpecialAttacks!$N$2:$N$47),"")</f>
        <v/>
      </c>
      <c r="D12" s="61" t="str">
        <f>IF(A12&lt;&gt;"",LOOKUP(A12,SpecialAttacks!$A$2:$A$47,SpecialAttacks!$Q$2:$Q$47),"")</f>
        <v/>
      </c>
      <c r="E12" s="62" t="str">
        <f>IF(A12&lt;&gt;"",LOOKUP(A12,SpecialAttacks!$A$2:$A$47,SpecialAttacks!$P$2:$P$47),"")</f>
        <v/>
      </c>
      <c r="F12" s="226" t="str">
        <f>IF(A12&lt;&gt;"",LOOKUP(A12,SpecialAttacks!$A$2:$A$47,SpecialAttacks!$R$2:$R$47),"")</f>
        <v/>
      </c>
      <c r="G12" s="62" t="str">
        <f>IF(A12&lt;&gt;"",LOOKUP(A12,SpecialAttacks!$A$2:$A$47,SpecialAttacks!$W$2:$W$47),"")</f>
        <v/>
      </c>
      <c r="H12" s="61" t="str">
        <f>IF(A12&lt;&gt;"",LOOKUP(A12,SpecialAttacks!$A$2:$A$47,SpecialAttacks!$X$2:$X$47),"")</f>
        <v/>
      </c>
      <c r="I12" s="215" t="str">
        <f>IF(A12&lt;&gt;"",LOOKUP(A12,SpecialAttacks!$A$2:$A$47,SpecialAttacks!$Y$2:$Y$47),"")</f>
        <v/>
      </c>
      <c r="J12" s="13"/>
      <c r="K12" s="4"/>
      <c r="L12" s="10"/>
      <c r="M12" s="45"/>
    </row>
    <row r="13" spans="1:28">
      <c r="A13" s="206" t="str">
        <f>IF(CritterSheet!$B$1="White Mandare","Constrictor","")</f>
        <v/>
      </c>
      <c r="B13" s="201" t="str">
        <f>IF(A13&lt;&gt;"",LOOKUP(A13,SpecialAttacks!$A$2:$A$47,SpecialAttacks!$V$2:$V$47),"")</f>
        <v/>
      </c>
      <c r="C13" s="227" t="str">
        <f>IF(A13&lt;&gt;"",LOOKUP(A13,SpecialAttacks!$A$2:$A$47,SpecialAttacks!$N$2:$N$47),"")</f>
        <v/>
      </c>
      <c r="D13" s="204" t="str">
        <f>IF(A13&lt;&gt;"",LOOKUP(A13,SpecialAttacks!$A$2:$A$47,SpecialAttacks!$Q$2:$Q$47),"")</f>
        <v/>
      </c>
      <c r="E13" s="227" t="str">
        <f>IF(A13&lt;&gt;"",LOOKUP(A13,SpecialAttacks!$A$2:$A$47,SpecialAttacks!$P$2:$P$47),"")</f>
        <v/>
      </c>
      <c r="F13" s="225" t="str">
        <f>IF(A13&lt;&gt;"",LOOKUP(A13,SpecialAttacks!$A$2:$A$47,SpecialAttacks!$R$2:$R$47),"")</f>
        <v/>
      </c>
      <c r="G13" s="227" t="str">
        <f>IF(A13&lt;&gt;"",LOOKUP(A13,SpecialAttacks!$A$2:$A$47,SpecialAttacks!$W$2:$W$47),"")</f>
        <v/>
      </c>
      <c r="H13" s="204" t="str">
        <f>IF(A13&lt;&gt;"",LOOKUP(A13,SpecialAttacks!$A$2:$A$47,SpecialAttacks!$X$2:$X$47),"")</f>
        <v/>
      </c>
      <c r="I13" s="228" t="str">
        <f>IF(A13&lt;&gt;"",LOOKUP(A13,SpecialAttacks!$A$2:$A$47,SpecialAttacks!$Y$2:$Y$47),"")</f>
        <v/>
      </c>
      <c r="J13" s="229"/>
      <c r="K13" s="197"/>
      <c r="L13" s="197"/>
      <c r="M13" s="198"/>
    </row>
    <row r="14" spans="1:28">
      <c r="A14" s="44" t="str">
        <f>IF(CritterSheet!$B$1="White Mandare","Crater","")</f>
        <v/>
      </c>
      <c r="B14" s="202" t="str">
        <f>IF(A14&lt;&gt;"",LOOKUP(A14,SpecialAttacks!$A$2:$A$47,SpecialAttacks!$V$2:$V$47),"")</f>
        <v/>
      </c>
      <c r="C14" s="62" t="str">
        <f>IF(A14&lt;&gt;"",LOOKUP(A14,SpecialAttacks!$A$2:$A$47,SpecialAttacks!$N$2:$N$47),"")</f>
        <v/>
      </c>
      <c r="D14" s="61" t="str">
        <f>IF(A14&lt;&gt;"",LOOKUP(A14,SpecialAttacks!$A$2:$A$47,SpecialAttacks!$Q$2:$Q$47),"")</f>
        <v/>
      </c>
      <c r="E14" s="62" t="str">
        <f>IF(A14&lt;&gt;"",LOOKUP(A14,SpecialAttacks!$A$2:$A$47,SpecialAttacks!$P$2:$P$47),"")</f>
        <v/>
      </c>
      <c r="F14" s="226" t="str">
        <f>IF(A14&lt;&gt;"",LOOKUP(A14,SpecialAttacks!$A$2:$A$47,SpecialAttacks!$R$2:$R$47),"")</f>
        <v/>
      </c>
      <c r="G14" s="62" t="str">
        <f>IF(A14&lt;&gt;"",LOOKUP(A14,SpecialAttacks!$A$2:$A$47,SpecialAttacks!$W$2:$W$47),"")</f>
        <v/>
      </c>
      <c r="H14" s="61" t="str">
        <f>IF(A14&lt;&gt;"",LOOKUP(A14,SpecialAttacks!$A$2:$A$47,SpecialAttacks!$X$2:$X$47),"")</f>
        <v/>
      </c>
      <c r="I14" s="215" t="str">
        <f>IF(A14&lt;&gt;"",LOOKUP(A14,SpecialAttacks!$A$2:$A$47,SpecialAttacks!$Y$2:$Y$47),"")</f>
        <v/>
      </c>
      <c r="J14" s="13"/>
      <c r="K14" s="4"/>
      <c r="L14" s="10"/>
      <c r="M14" s="45"/>
    </row>
    <row r="15" spans="1:28">
      <c r="A15" s="206" t="str">
        <f>IF(CritterSheet!$B$1="White Mandare","Flingers","")</f>
        <v/>
      </c>
      <c r="B15" s="201" t="str">
        <f>IF(A15&lt;&gt;"",LOOKUP(A15,SpecialAttacks!$A$2:$A$47,SpecialAttacks!$V$2:$V$47),"")</f>
        <v/>
      </c>
      <c r="C15" s="227" t="str">
        <f>IF(A15&lt;&gt;"",LOOKUP(A15,SpecialAttacks!$A$2:$A$47,SpecialAttacks!$N$2:$N$47),"")</f>
        <v/>
      </c>
      <c r="D15" s="204" t="str">
        <f>IF(A15&lt;&gt;"",LOOKUP(A15,SpecialAttacks!$A$2:$A$47,SpecialAttacks!$Q$2:$Q$47),"")</f>
        <v/>
      </c>
      <c r="E15" s="227" t="str">
        <f>IF(A15&lt;&gt;"",LOOKUP(A15,SpecialAttacks!$A$2:$A$47,SpecialAttacks!$P$2:$P$47),"")</f>
        <v/>
      </c>
      <c r="F15" s="225" t="str">
        <f>IF(A15&lt;&gt;"",LOOKUP(A15,SpecialAttacks!$A$2:$A$47,SpecialAttacks!$R$2:$R$47),"")</f>
        <v/>
      </c>
      <c r="G15" s="227" t="str">
        <f>IF(A15&lt;&gt;"",LOOKUP(A15,SpecialAttacks!$A$2:$A$47,SpecialAttacks!$W$2:$W$47),"")</f>
        <v/>
      </c>
      <c r="H15" s="204" t="str">
        <f>IF(A15&lt;&gt;"",LOOKUP(A15,SpecialAttacks!$A$2:$A$47,SpecialAttacks!$X$2:$X$47),"")</f>
        <v/>
      </c>
      <c r="I15" s="228" t="str">
        <f>IF(A15&lt;&gt;"",LOOKUP(A15,SpecialAttacks!$A$2:$A$47,SpecialAttacks!$Y$2:$Y$47),"")</f>
        <v/>
      </c>
      <c r="J15" s="229"/>
      <c r="K15" s="197"/>
      <c r="L15" s="197"/>
      <c r="M15" s="198"/>
    </row>
    <row r="16" spans="1:28">
      <c r="A16" s="44" t="str">
        <f>IF(CritterSheet!$B$1="White Mandare","Frost Bolt","")</f>
        <v/>
      </c>
      <c r="B16" s="202" t="str">
        <f>IF(A16&lt;&gt;"",LOOKUP(A16,SpecialAttacks!$A$2:$A$47,SpecialAttacks!$V$2:$V$47),"")</f>
        <v/>
      </c>
      <c r="C16" s="62" t="str">
        <f>IF(A16&lt;&gt;"",LOOKUP(A16,SpecialAttacks!$A$2:$A$47,SpecialAttacks!$N$2:$N$47),"")</f>
        <v/>
      </c>
      <c r="D16" s="61" t="str">
        <f>IF(A16&lt;&gt;"",LOOKUP(A16,SpecialAttacks!$A$2:$A$47,SpecialAttacks!$Q$2:$Q$47),"")</f>
        <v/>
      </c>
      <c r="E16" s="62" t="str">
        <f>IF(A16&lt;&gt;"",LOOKUP(A16,SpecialAttacks!$A$2:$A$47,SpecialAttacks!$P$2:$P$47),"")</f>
        <v/>
      </c>
      <c r="F16" s="226" t="str">
        <f>IF(A16&lt;&gt;"",LOOKUP(A16,SpecialAttacks!$A$2:$A$47,SpecialAttacks!$R$2:$R$47),"")</f>
        <v/>
      </c>
      <c r="G16" s="62" t="str">
        <f>IF(A16&lt;&gt;"",LOOKUP(A16,SpecialAttacks!$A$2:$A$47,SpecialAttacks!$W$2:$W$47),"")</f>
        <v/>
      </c>
      <c r="H16" s="61" t="str">
        <f>IF(A16&lt;&gt;"",LOOKUP(A16,SpecialAttacks!$A$2:$A$47,SpecialAttacks!$X$2:$X$47),"")</f>
        <v/>
      </c>
      <c r="I16" s="215" t="str">
        <f>IF(A16&lt;&gt;"",LOOKUP(A16,SpecialAttacks!$A$2:$A$47,SpecialAttacks!$Y$2:$Y$47),"")</f>
        <v/>
      </c>
      <c r="J16" s="13"/>
      <c r="K16" s="4"/>
      <c r="L16" s="10"/>
      <c r="M16" s="45"/>
    </row>
    <row r="17" spans="1:13">
      <c r="A17" s="206" t="str">
        <f>IF(CritterSheet!$B$1="White Mandare","Levitate","")</f>
        <v/>
      </c>
      <c r="B17" s="201" t="str">
        <f>IF(A17&lt;&gt;"",LOOKUP(A17,SpecialAttacks!$A$2:$A$47,SpecialAttacks!$V$2:$V$47),"")</f>
        <v/>
      </c>
      <c r="C17" s="227" t="str">
        <f>IF(A17&lt;&gt;"",LOOKUP(A17,SpecialAttacks!$A$2:$A$47,SpecialAttacks!$N$2:$N$47),"")</f>
        <v/>
      </c>
      <c r="D17" s="204" t="str">
        <f>IF(A17&lt;&gt;"",LOOKUP(A17,SpecialAttacks!$A$2:$A$47,SpecialAttacks!$Q$2:$Q$47),"")</f>
        <v/>
      </c>
      <c r="E17" s="227" t="str">
        <f>IF(A17&lt;&gt;"",LOOKUP(A17,SpecialAttacks!$A$2:$A$47,SpecialAttacks!$P$2:$P$47),"")</f>
        <v/>
      </c>
      <c r="F17" s="225" t="str">
        <f>IF(A17&lt;&gt;"",LOOKUP(A17,SpecialAttacks!$A$2:$A$47,SpecialAttacks!$R$2:$R$47),"")</f>
        <v/>
      </c>
      <c r="G17" s="227" t="str">
        <f>IF(A17&lt;&gt;"",LOOKUP(A17,SpecialAttacks!$A$2:$A$47,SpecialAttacks!$W$2:$W$47),"")</f>
        <v/>
      </c>
      <c r="H17" s="204" t="str">
        <f>IF(A17&lt;&gt;"",LOOKUP(A17,SpecialAttacks!$A$2:$A$47,SpecialAttacks!$X$2:$X$47),"")</f>
        <v/>
      </c>
      <c r="I17" s="228" t="str">
        <f>IF(A17&lt;&gt;"",LOOKUP(A17,SpecialAttacks!$A$2:$A$47,SpecialAttacks!$Y$2:$Y$47),"")</f>
        <v/>
      </c>
      <c r="J17" s="229"/>
      <c r="K17" s="197"/>
      <c r="L17" s="197"/>
      <c r="M17" s="198"/>
    </row>
    <row r="18" spans="1:13">
      <c r="A18" s="44" t="str">
        <f>IF(CritterSheet!$B$1="White Mandare","Lightning Blast","")</f>
        <v/>
      </c>
      <c r="B18" s="202" t="str">
        <f>IF(A18&lt;&gt;"",LOOKUP(A18,SpecialAttacks!$A$2:$A$47,SpecialAttacks!$V$2:$V$47),"")</f>
        <v/>
      </c>
      <c r="C18" s="62" t="str">
        <f>IF(A18&lt;&gt;"",LOOKUP(A18,SpecialAttacks!$A$2:$A$47,SpecialAttacks!$N$2:$N$47),"")</f>
        <v/>
      </c>
      <c r="D18" s="61" t="str">
        <f>IF(A18&lt;&gt;"",LOOKUP(A18,SpecialAttacks!$A$2:$A$47,SpecialAttacks!$Q$2:$Q$47),"")</f>
        <v/>
      </c>
      <c r="E18" s="62" t="str">
        <f>IF(A18&lt;&gt;"",LOOKUP(A18,SpecialAttacks!$A$2:$A$47,SpecialAttacks!$P$2:$P$47),"")</f>
        <v/>
      </c>
      <c r="F18" s="226" t="str">
        <f>IF(A18&lt;&gt;"",LOOKUP(A18,SpecialAttacks!$A$2:$A$47,SpecialAttacks!$R$2:$R$47),"")</f>
        <v/>
      </c>
      <c r="G18" s="62" t="str">
        <f>IF(A18&lt;&gt;"",LOOKUP(A18,SpecialAttacks!$A$2:$A$47,SpecialAttacks!$W$2:$W$47),"")</f>
        <v/>
      </c>
      <c r="H18" s="61" t="str">
        <f>IF(A18&lt;&gt;"",LOOKUP(A18,SpecialAttacks!$A$2:$A$47,SpecialAttacks!$X$2:$X$47),"")</f>
        <v/>
      </c>
      <c r="I18" s="215" t="str">
        <f>IF(A18&lt;&gt;"",LOOKUP(A18,SpecialAttacks!$A$2:$A$47,SpecialAttacks!$Y$2:$Y$47),"")</f>
        <v/>
      </c>
      <c r="J18" s="13"/>
      <c r="K18" s="4"/>
      <c r="L18" s="10"/>
      <c r="M18" s="45"/>
    </row>
    <row r="19" spans="1:13">
      <c r="A19" s="206" t="str">
        <f>IF(CritterSheet!$B$1="White Mandare","Lighning Strike","")</f>
        <v/>
      </c>
      <c r="B19" s="201" t="str">
        <f>IF(A19&lt;&gt;"",LOOKUP(A19,SpecialAttacks!$A$2:$A$47,SpecialAttacks!$V$2:$V$47),"")</f>
        <v/>
      </c>
      <c r="C19" s="227" t="str">
        <f>IF(A19&lt;&gt;"",LOOKUP(A19,SpecialAttacks!$A$2:$A$47,SpecialAttacks!$N$2:$N$47),"")</f>
        <v/>
      </c>
      <c r="D19" s="204" t="str">
        <f>IF(A19&lt;&gt;"",LOOKUP(A19,SpecialAttacks!$A$2:$A$47,SpecialAttacks!$Q$2:$Q$47),"")</f>
        <v/>
      </c>
      <c r="E19" s="227" t="str">
        <f>IF(A19&lt;&gt;"",LOOKUP(A19,SpecialAttacks!$A$2:$A$47,SpecialAttacks!$P$2:$P$47),"")</f>
        <v/>
      </c>
      <c r="F19" s="225" t="str">
        <f>IF(A19&lt;&gt;"",LOOKUP(A19,SpecialAttacks!$A$2:$A$47,SpecialAttacks!$R$2:$R$47),"")</f>
        <v/>
      </c>
      <c r="G19" s="227" t="str">
        <f>IF(A19&lt;&gt;"",LOOKUP(A19,SpecialAttacks!$A$2:$A$47,SpecialAttacks!$W$2:$W$47),"")</f>
        <v/>
      </c>
      <c r="H19" s="204" t="str">
        <f>IF(A19&lt;&gt;"",LOOKUP(A19,SpecialAttacks!$A$2:$A$47,SpecialAttacks!$X$2:$X$47),"")</f>
        <v/>
      </c>
      <c r="I19" s="228" t="str">
        <f>IF(A19&lt;&gt;"",LOOKUP(A19,SpecialAttacks!$A$2:$A$47,SpecialAttacks!$Y$2:$Y$47),"")</f>
        <v/>
      </c>
      <c r="J19" s="229"/>
      <c r="K19" s="197"/>
      <c r="L19" s="197"/>
      <c r="M19" s="198"/>
    </row>
    <row r="20" spans="1:13">
      <c r="A20" s="44" t="str">
        <f>IF(CritterSheet!$B$1="White Mandare","Orb of Light","")</f>
        <v/>
      </c>
      <c r="B20" s="202" t="str">
        <f>IF(A20&lt;&gt;"",LOOKUP(A20,SpecialAttacks!$A$2:$A$47,SpecialAttacks!$V$2:$V$47),"")</f>
        <v/>
      </c>
      <c r="C20" s="62" t="str">
        <f>IF(A20&lt;&gt;"",LOOKUP(A20,SpecialAttacks!$A$2:$A$47,SpecialAttacks!$N$2:$N$47),"")</f>
        <v/>
      </c>
      <c r="D20" s="61" t="str">
        <f>IF(A20&lt;&gt;"",LOOKUP(A20,SpecialAttacks!$A$2:$A$47,SpecialAttacks!$Q$2:$Q$47),"")</f>
        <v/>
      </c>
      <c r="E20" s="62" t="str">
        <f>IF(A20&lt;&gt;"",LOOKUP(A20,SpecialAttacks!$A$2:$A$47,SpecialAttacks!$P$2:$P$47),"")</f>
        <v/>
      </c>
      <c r="F20" s="226" t="str">
        <f>IF(A20&lt;&gt;"",LOOKUP(A20,SpecialAttacks!$A$2:$A$47,SpecialAttacks!$R$2:$R$47),"")</f>
        <v/>
      </c>
      <c r="G20" s="62" t="str">
        <f>IF(A20&lt;&gt;"",LOOKUP(A20,SpecialAttacks!$A$2:$A$47,SpecialAttacks!$W$2:$W$47),"")</f>
        <v/>
      </c>
      <c r="H20" s="61" t="str">
        <f>IF(A20&lt;&gt;"",LOOKUP(A20,SpecialAttacks!$A$2:$A$47,SpecialAttacks!$X$2:$X$47),"")</f>
        <v/>
      </c>
      <c r="I20" s="215" t="str">
        <f>IF(A20&lt;&gt;"",LOOKUP(A20,SpecialAttacks!$A$2:$A$47,SpecialAttacks!$Y$2:$Y$47),"")</f>
        <v/>
      </c>
      <c r="J20" s="13"/>
      <c r="K20" s="4"/>
      <c r="L20" s="10"/>
      <c r="M20" s="45"/>
    </row>
    <row r="21" spans="1:13">
      <c r="A21" s="206" t="str">
        <f>IF(CritterSheet!$B$1="White Mandare","Penetration Bolt","")</f>
        <v/>
      </c>
      <c r="B21" s="201" t="str">
        <f>IF(A21&lt;&gt;"",LOOKUP(A21,SpecialAttacks!$A$2:$A$47,SpecialAttacks!$V$2:$V$47),"")</f>
        <v/>
      </c>
      <c r="C21" s="227" t="str">
        <f>IF(A21&lt;&gt;"",LOOKUP(A21,SpecialAttacks!$A$2:$A$47,SpecialAttacks!$N$2:$N$47),"")</f>
        <v/>
      </c>
      <c r="D21" s="204" t="str">
        <f>IF(A21&lt;&gt;"",LOOKUP(A21,SpecialAttacks!$A$2:$A$47,SpecialAttacks!$Q$2:$Q$47),"")</f>
        <v/>
      </c>
      <c r="E21" s="227" t="str">
        <f>IF(A21&lt;&gt;"",LOOKUP(A21,SpecialAttacks!$A$2:$A$47,SpecialAttacks!$P$2:$P$47),"")</f>
        <v/>
      </c>
      <c r="F21" s="225" t="str">
        <f>IF(A21&lt;&gt;"",LOOKUP(A21,SpecialAttacks!$A$2:$A$47,SpecialAttacks!$R$2:$R$47),"")</f>
        <v/>
      </c>
      <c r="G21" s="227" t="str">
        <f>IF(A21&lt;&gt;"",LOOKUP(A21,SpecialAttacks!$A$2:$A$47,SpecialAttacks!$W$2:$W$47),"")</f>
        <v/>
      </c>
      <c r="H21" s="204" t="str">
        <f>IF(A21&lt;&gt;"",LOOKUP(A21,SpecialAttacks!$A$2:$A$47,SpecialAttacks!$X$2:$X$47),"")</f>
        <v/>
      </c>
      <c r="I21" s="228" t="str">
        <f>IF(A21&lt;&gt;"",LOOKUP(A21,SpecialAttacks!$A$2:$A$47,SpecialAttacks!$Y$2:$Y$47),"")</f>
        <v/>
      </c>
      <c r="J21" s="229"/>
      <c r="K21" s="197"/>
      <c r="L21" s="197"/>
      <c r="M21" s="198"/>
    </row>
    <row r="22" spans="1:13">
      <c r="A22" s="44" t="str">
        <f>IF(CritterSheet!$B$1="White Mandare","Ping","")</f>
        <v/>
      </c>
      <c r="B22" s="202" t="str">
        <f>IF(A22&lt;&gt;"",LOOKUP(A22,SpecialAttacks!$A$2:$A$47,SpecialAttacks!$V$2:$V$47),"")</f>
        <v/>
      </c>
      <c r="C22" s="62" t="str">
        <f>IF(A22&lt;&gt;"",LOOKUP(A22,SpecialAttacks!$A$2:$A$47,SpecialAttacks!$N$2:$N$47),"")</f>
        <v/>
      </c>
      <c r="D22" s="61" t="str">
        <f>IF(A22&lt;&gt;"",LOOKUP(A22,SpecialAttacks!$A$2:$A$47,SpecialAttacks!$Q$2:$Q$47),"")</f>
        <v/>
      </c>
      <c r="E22" s="62" t="str">
        <f>IF(A22&lt;&gt;"",LOOKUP(A22,SpecialAttacks!$A$2:$A$47,SpecialAttacks!$P$2:$P$47),"")</f>
        <v/>
      </c>
      <c r="F22" s="226" t="str">
        <f>IF(A22&lt;&gt;"",LOOKUP(A22,SpecialAttacks!$A$2:$A$47,SpecialAttacks!$R$2:$R$47),"")</f>
        <v/>
      </c>
      <c r="G22" s="62" t="str">
        <f>IF(A22&lt;&gt;"",LOOKUP(A22,SpecialAttacks!$A$2:$A$47,SpecialAttacks!$W$2:$W$47),"")</f>
        <v/>
      </c>
      <c r="H22" s="61" t="str">
        <f>IF(A22&lt;&gt;"",LOOKUP(A22,SpecialAttacks!$A$2:$A$47,SpecialAttacks!$X$2:$X$47),"")</f>
        <v/>
      </c>
      <c r="I22" s="215" t="str">
        <f>IF(A22&lt;&gt;"",LOOKUP(A22,SpecialAttacks!$A$2:$A$47,SpecialAttacks!$Y$2:$Y$47),"")</f>
        <v/>
      </c>
      <c r="J22" s="13"/>
      <c r="K22" s="4"/>
      <c r="L22" s="10"/>
      <c r="M22" s="45"/>
    </row>
    <row r="23" spans="1:13">
      <c r="A23" s="206" t="str">
        <f>IF(CritterSheet!$B$1="White Mandare","Power Hold","")</f>
        <v/>
      </c>
      <c r="B23" s="201" t="str">
        <f>IF(A23&lt;&gt;"",LOOKUP(A23,SpecialAttacks!$A$2:$A$47,SpecialAttacks!$V$2:$V$47),"")</f>
        <v/>
      </c>
      <c r="C23" s="227" t="str">
        <f>IF(A23&lt;&gt;"",LOOKUP(A23,SpecialAttacks!$A$2:$A$47,SpecialAttacks!$N$2:$N$47),"")</f>
        <v/>
      </c>
      <c r="D23" s="204" t="str">
        <f>IF(A23&lt;&gt;"",LOOKUP(A23,SpecialAttacks!$A$2:$A$47,SpecialAttacks!$Q$2:$Q$47),"")</f>
        <v/>
      </c>
      <c r="E23" s="227" t="str">
        <f>IF(A23&lt;&gt;"",LOOKUP(A23,SpecialAttacks!$A$2:$A$47,SpecialAttacks!$P$2:$P$47),"")</f>
        <v/>
      </c>
      <c r="F23" s="225" t="str">
        <f>IF(A23&lt;&gt;"",LOOKUP(A23,SpecialAttacks!$A$2:$A$47,SpecialAttacks!$R$2:$R$47),"")</f>
        <v/>
      </c>
      <c r="G23" s="227" t="str">
        <f>IF(A23&lt;&gt;"",LOOKUP(A23,SpecialAttacks!$A$2:$A$47,SpecialAttacks!$W$2:$W$47),"")</f>
        <v/>
      </c>
      <c r="H23" s="204" t="str">
        <f>IF(A23&lt;&gt;"",LOOKUP(A23,SpecialAttacks!$A$2:$A$47,SpecialAttacks!$X$2:$X$47),"")</f>
        <v/>
      </c>
      <c r="I23" s="228" t="str">
        <f>IF(A23&lt;&gt;"",LOOKUP(A23,SpecialAttacks!$A$2:$A$47,SpecialAttacks!$Y$2:$Y$47),"")</f>
        <v/>
      </c>
      <c r="J23" s="229"/>
      <c r="K23" s="197"/>
      <c r="L23" s="197"/>
      <c r="M23" s="198"/>
    </row>
    <row r="24" spans="1:13">
      <c r="A24" s="44" t="str">
        <f>IF(CritterSheet!$B$1="White Mandare","Power Orb","")</f>
        <v/>
      </c>
      <c r="B24" s="202" t="str">
        <f>IF(A24&lt;&gt;"",LOOKUP(A24,SpecialAttacks!$A$2:$A$47,SpecialAttacks!$V$2:$V$47),"")</f>
        <v/>
      </c>
      <c r="C24" s="62" t="str">
        <f>IF(A24&lt;&gt;"",LOOKUP(A24,SpecialAttacks!$A$2:$A$47,SpecialAttacks!$N$2:$N$47),"")</f>
        <v/>
      </c>
      <c r="D24" s="61" t="str">
        <f>IF(A24&lt;&gt;"",LOOKUP(A24,SpecialAttacks!$A$2:$A$47,SpecialAttacks!$Q$2:$Q$47),"")</f>
        <v/>
      </c>
      <c r="E24" s="62" t="str">
        <f>IF(A24&lt;&gt;"",LOOKUP(A24,SpecialAttacks!$A$2:$A$47,SpecialAttacks!$P$2:$P$47),"")</f>
        <v/>
      </c>
      <c r="F24" s="226" t="str">
        <f>IF(A24&lt;&gt;"",LOOKUP(A24,SpecialAttacks!$A$2:$A$47,SpecialAttacks!$R$2:$R$47),"")</f>
        <v/>
      </c>
      <c r="G24" s="62" t="str">
        <f>IF(A24&lt;&gt;"",LOOKUP(A24,SpecialAttacks!$A$2:$A$47,SpecialAttacks!$W$2:$W$47),"")</f>
        <v/>
      </c>
      <c r="H24" s="61" t="str">
        <f>IF(A24&lt;&gt;"",LOOKUP(A24,SpecialAttacks!$A$2:$A$47,SpecialAttacks!$X$2:$X$47),"")</f>
        <v/>
      </c>
      <c r="I24" s="215" t="str">
        <f>IF(A24&lt;&gt;"",LOOKUP(A24,SpecialAttacks!$A$2:$A$47,SpecialAttacks!$Y$2:$Y$47),"")</f>
        <v/>
      </c>
      <c r="J24" s="13"/>
      <c r="K24" s="4"/>
      <c r="L24" s="10"/>
      <c r="M24" s="45"/>
    </row>
    <row r="25" spans="1:13">
      <c r="A25" s="206" t="str">
        <f>IF(CritterSheet!$B$1="White Mandare","Push","")</f>
        <v/>
      </c>
      <c r="B25" s="201" t="str">
        <f>IF(A25&lt;&gt;"",LOOKUP(A25,SpecialAttacks!$A$2:$A$47,SpecialAttacks!$V$2:$V$47),"")</f>
        <v/>
      </c>
      <c r="C25" s="227" t="str">
        <f>IF(A25&lt;&gt;"",LOOKUP(A25,SpecialAttacks!$A$2:$A$47,SpecialAttacks!$N$2:$N$47),"")</f>
        <v/>
      </c>
      <c r="D25" s="204" t="str">
        <f>IF(A25&lt;&gt;"",LOOKUP(A25,SpecialAttacks!$A$2:$A$47,SpecialAttacks!$Q$2:$Q$47),"")</f>
        <v/>
      </c>
      <c r="E25" s="227" t="str">
        <f>IF(A25&lt;&gt;"",LOOKUP(A25,SpecialAttacks!$A$2:$A$47,SpecialAttacks!$P$2:$P$47),"")</f>
        <v/>
      </c>
      <c r="F25" s="225" t="str">
        <f>IF(A25&lt;&gt;"",LOOKUP(A25,SpecialAttacks!$A$2:$A$47,SpecialAttacks!$R$2:$R$47),"")</f>
        <v/>
      </c>
      <c r="G25" s="227" t="str">
        <f>IF(A25&lt;&gt;"",LOOKUP(A25,SpecialAttacks!$A$2:$A$47,SpecialAttacks!$W$2:$W$47),"")</f>
        <v/>
      </c>
      <c r="H25" s="204" t="str">
        <f>IF(A25&lt;&gt;"",LOOKUP(A25,SpecialAttacks!$A$2:$A$47,SpecialAttacks!$X$2:$X$47),"")</f>
        <v/>
      </c>
      <c r="I25" s="228" t="str">
        <f>IF(A25&lt;&gt;"",LOOKUP(A25,SpecialAttacks!$A$2:$A$47,SpecialAttacks!$Y$2:$Y$47),"")</f>
        <v/>
      </c>
      <c r="J25" s="229"/>
      <c r="K25" s="197"/>
      <c r="L25" s="197"/>
      <c r="M25" s="198"/>
    </row>
    <row r="26" spans="1:13">
      <c r="A26" s="44" t="str">
        <f>IF(CritterSheet!$B$1="White Mandare","Quantum","")</f>
        <v/>
      </c>
      <c r="B26" s="202" t="str">
        <f>IF(A26&lt;&gt;"",LOOKUP(A26,SpecialAttacks!$A$2:$A$47,SpecialAttacks!$V$2:$V$47),"")</f>
        <v/>
      </c>
      <c r="C26" s="62" t="str">
        <f>IF(A26&lt;&gt;"",LOOKUP(A26,SpecialAttacks!$A$2:$A$47,SpecialAttacks!$N$2:$N$47),"")</f>
        <v/>
      </c>
      <c r="D26" s="61" t="str">
        <f>IF(A26&lt;&gt;"",LOOKUP(A26,SpecialAttacks!$A$2:$A$47,SpecialAttacks!$Q$2:$Q$47),"")</f>
        <v/>
      </c>
      <c r="E26" s="62" t="str">
        <f>IF(A26&lt;&gt;"",LOOKUP(A26,SpecialAttacks!$A$2:$A$47,SpecialAttacks!$P$2:$P$47),"")</f>
        <v/>
      </c>
      <c r="F26" s="226" t="str">
        <f>IF(A26&lt;&gt;"",LOOKUP(A26,SpecialAttacks!$A$2:$A$47,SpecialAttacks!$R$2:$R$47),"")</f>
        <v/>
      </c>
      <c r="G26" s="62" t="str">
        <f>IF(A26&lt;&gt;"",LOOKUP(A26,SpecialAttacks!$A$2:$A$47,SpecialAttacks!$W$2:$W$47),"")</f>
        <v/>
      </c>
      <c r="H26" s="61" t="str">
        <f>IF(A26&lt;&gt;"",LOOKUP(A26,SpecialAttacks!$A$2:$A$47,SpecialAttacks!$X$2:$X$47),"")</f>
        <v/>
      </c>
      <c r="I26" s="215" t="str">
        <f>IF(A26&lt;&gt;"",LOOKUP(A26,SpecialAttacks!$A$2:$A$47,SpecialAttacks!$Y$2:$Y$47),"")</f>
        <v/>
      </c>
      <c r="J26" s="13"/>
      <c r="K26" s="4"/>
      <c r="L26" s="10"/>
      <c r="M26" s="45"/>
    </row>
    <row r="27" spans="1:13">
      <c r="A27" s="206" t="str">
        <f>IF(CritterSheet!$B$1="White Mandare","Shield","")</f>
        <v/>
      </c>
      <c r="B27" s="201" t="str">
        <f>IF(A27&lt;&gt;"",LOOKUP(A27,SpecialAttacks!$A$2:$A$47,SpecialAttacks!$V$2:$V$47),"")</f>
        <v/>
      </c>
      <c r="C27" s="227" t="str">
        <f>IF(A27&lt;&gt;"",LOOKUP(A27,SpecialAttacks!$A$2:$A$47,SpecialAttacks!$N$2:$N$47),"")</f>
        <v/>
      </c>
      <c r="D27" s="204" t="str">
        <f>IF(A27&lt;&gt;"",LOOKUP(A27,SpecialAttacks!$A$2:$A$47,SpecialAttacks!$Q$2:$Q$47),"")</f>
        <v/>
      </c>
      <c r="E27" s="227" t="str">
        <f>IF(A27&lt;&gt;"",LOOKUP(A27,SpecialAttacks!$A$2:$A$47,SpecialAttacks!$P$2:$P$47),"")</f>
        <v/>
      </c>
      <c r="F27" s="225" t="str">
        <f>IF(A27&lt;&gt;"",LOOKUP(A27,SpecialAttacks!$A$2:$A$47,SpecialAttacks!$R$2:$R$47),"")</f>
        <v/>
      </c>
      <c r="G27" s="227" t="str">
        <f>IF(A27&lt;&gt;"",LOOKUP(A27,SpecialAttacks!$A$2:$A$47,SpecialAttacks!$W$2:$W$47),"")</f>
        <v/>
      </c>
      <c r="H27" s="204" t="str">
        <f>IF(A27&lt;&gt;"",LOOKUP(A27,SpecialAttacks!$A$2:$A$47,SpecialAttacks!$X$2:$X$47),"")</f>
        <v/>
      </c>
      <c r="I27" s="228" t="str">
        <f>IF(A27&lt;&gt;"",LOOKUP(A27,SpecialAttacks!$A$2:$A$47,SpecialAttacks!$Y$2:$Y$47),"")</f>
        <v/>
      </c>
      <c r="J27" s="229"/>
      <c r="K27" s="197"/>
      <c r="L27" s="197"/>
      <c r="M27" s="198"/>
    </row>
    <row r="28" spans="1:13">
      <c r="A28" s="44" t="str">
        <f>IF(CritterSheet!$B$1="White Mandare","Shield Implostion","")</f>
        <v/>
      </c>
      <c r="B28" s="202" t="str">
        <f>IF(A28&lt;&gt;"",LOOKUP(A28,SpecialAttacks!$A$2:$A$47,SpecialAttacks!$V$2:$V$47),"")</f>
        <v/>
      </c>
      <c r="C28" s="62" t="str">
        <f>IF(A28&lt;&gt;"",LOOKUP(A28,SpecialAttacks!$A$2:$A$47,SpecialAttacks!$N$2:$N$47),"")</f>
        <v/>
      </c>
      <c r="D28" s="61" t="str">
        <f>IF(A28&lt;&gt;"",LOOKUP(A28,SpecialAttacks!$A$2:$A$47,SpecialAttacks!$Q$2:$Q$47),"")</f>
        <v/>
      </c>
      <c r="E28" s="62" t="str">
        <f>IF(A28&lt;&gt;"",LOOKUP(A28,SpecialAttacks!$A$2:$A$47,SpecialAttacks!$P$2:$P$47),"")</f>
        <v/>
      </c>
      <c r="F28" s="226" t="str">
        <f>IF(A28&lt;&gt;"",LOOKUP(A28,SpecialAttacks!$A$2:$A$47,SpecialAttacks!$R$2:$R$47),"")</f>
        <v/>
      </c>
      <c r="G28" s="62" t="str">
        <f>IF(A28&lt;&gt;"",LOOKUP(A28,SpecialAttacks!$A$2:$A$47,SpecialAttacks!$W$2:$W$47),"")</f>
        <v/>
      </c>
      <c r="H28" s="61" t="str">
        <f>IF(A28&lt;&gt;"",LOOKUP(A28,SpecialAttacks!$A$2:$A$47,SpecialAttacks!$X$2:$X$47),"")</f>
        <v/>
      </c>
      <c r="I28" s="215" t="str">
        <f>IF(A28&lt;&gt;"",LOOKUP(A28,SpecialAttacks!$A$2:$A$47,SpecialAttacks!$Y$2:$Y$47),"")</f>
        <v/>
      </c>
      <c r="J28" s="13"/>
      <c r="K28" s="4"/>
      <c r="L28" s="10"/>
      <c r="M28" s="45"/>
    </row>
    <row r="29" spans="1:13">
      <c r="A29" s="206" t="str">
        <f>IF(CritterSheet!$B$1="White Mandare","Shield Shatter","")</f>
        <v/>
      </c>
      <c r="B29" s="201" t="str">
        <f>IF(A29&lt;&gt;"",LOOKUP(A29,SpecialAttacks!$A$2:$A$47,SpecialAttacks!$V$2:$V$47),"")</f>
        <v/>
      </c>
      <c r="C29" s="227" t="str">
        <f>IF(A29&lt;&gt;"",LOOKUP(A29,SpecialAttacks!$A$2:$A$47,SpecialAttacks!$N$2:$N$47),"")</f>
        <v/>
      </c>
      <c r="D29" s="204" t="str">
        <f>IF(A29&lt;&gt;"",LOOKUP(A29,SpecialAttacks!$A$2:$A$47,SpecialAttacks!$Q$2:$Q$47),"")</f>
        <v/>
      </c>
      <c r="E29" s="227" t="str">
        <f>IF(A29&lt;&gt;"",LOOKUP(A29,SpecialAttacks!$A$2:$A$47,SpecialAttacks!$P$2:$P$47),"")</f>
        <v/>
      </c>
      <c r="F29" s="225" t="str">
        <f>IF(A29&lt;&gt;"",LOOKUP(A29,SpecialAttacks!$A$2:$A$47,SpecialAttacks!$R$2:$R$47),"")</f>
        <v/>
      </c>
      <c r="G29" s="227" t="str">
        <f>IF(A29&lt;&gt;"",LOOKUP(A29,SpecialAttacks!$A$2:$A$47,SpecialAttacks!$W$2:$W$47),"")</f>
        <v/>
      </c>
      <c r="H29" s="204" t="str">
        <f>IF(A29&lt;&gt;"",LOOKUP(A29,SpecialAttacks!$A$2:$A$47,SpecialAttacks!$X$2:$X$47),"")</f>
        <v/>
      </c>
      <c r="I29" s="228" t="str">
        <f>IF(A29&lt;&gt;"",LOOKUP(A29,SpecialAttacks!$A$2:$A$47,SpecialAttacks!$Y$2:$Y$47),"")</f>
        <v/>
      </c>
      <c r="J29" s="229"/>
      <c r="K29" s="197"/>
      <c r="L29" s="197"/>
      <c r="M29" s="198"/>
    </row>
    <row r="30" spans="1:13">
      <c r="A30" s="44" t="str">
        <f>IF(CritterSheet!$B$1="White Mandare","Spinner","")</f>
        <v/>
      </c>
      <c r="B30" s="202" t="str">
        <f>IF(A30&lt;&gt;"",LOOKUP(A30,SpecialAttacks!$A$2:$A$47,SpecialAttacks!$V$2:$V$47),"")</f>
        <v/>
      </c>
      <c r="C30" s="62" t="str">
        <f>IF(A30&lt;&gt;"",LOOKUP(A30,SpecialAttacks!$A$2:$A$47,SpecialAttacks!$N$2:$N$47),"")</f>
        <v/>
      </c>
      <c r="D30" s="61" t="str">
        <f>IF(A30&lt;&gt;"",LOOKUP(A30,SpecialAttacks!$A$2:$A$47,SpecialAttacks!$Q$2:$Q$47),"")</f>
        <v/>
      </c>
      <c r="E30" s="62" t="str">
        <f>IF(A30&lt;&gt;"",LOOKUP(A30,SpecialAttacks!$A$2:$A$47,SpecialAttacks!$P$2:$P$47),"")</f>
        <v/>
      </c>
      <c r="F30" s="226" t="str">
        <f>IF(A30&lt;&gt;"",LOOKUP(A30,SpecialAttacks!$A$2:$A$47,SpecialAttacks!$R$2:$R$47),"")</f>
        <v/>
      </c>
      <c r="G30" s="62" t="str">
        <f>IF(A30&lt;&gt;"",LOOKUP(A30,SpecialAttacks!$A$2:$A$47,SpecialAttacks!$W$2:$W$47),"")</f>
        <v/>
      </c>
      <c r="H30" s="61" t="str">
        <f>IF(A30&lt;&gt;"",LOOKUP(A30,SpecialAttacks!$A$2:$A$47,SpecialAttacks!$X$2:$X$47),"")</f>
        <v/>
      </c>
      <c r="I30" s="215" t="str">
        <f>IF(A30&lt;&gt;"",LOOKUP(A30,SpecialAttacks!$A$2:$A$47,SpecialAttacks!$Y$2:$Y$47),"")</f>
        <v/>
      </c>
      <c r="J30" s="13"/>
      <c r="K30" s="4"/>
      <c r="L30" s="10"/>
      <c r="M30" s="45"/>
    </row>
    <row r="31" spans="1:13">
      <c r="A31" s="206" t="str">
        <f>IF(CritterSheet!$B$1="White Mandare","Stiff","")</f>
        <v/>
      </c>
      <c r="B31" s="201" t="str">
        <f>IF(A31&lt;&gt;"",LOOKUP(A31,SpecialAttacks!$A$2:$A$47,SpecialAttacks!$V$2:$V$47),"")</f>
        <v/>
      </c>
      <c r="C31" s="227" t="str">
        <f>IF(A31&lt;&gt;"",LOOKUP(A31,SpecialAttacks!$A$2:$A$47,SpecialAttacks!$N$2:$N$47),"")</f>
        <v/>
      </c>
      <c r="D31" s="204" t="str">
        <f>IF(A31&lt;&gt;"",LOOKUP(A31,SpecialAttacks!$A$2:$A$47,SpecialAttacks!$Q$2:$Q$47),"")</f>
        <v/>
      </c>
      <c r="E31" s="227" t="str">
        <f>IF(A31&lt;&gt;"",LOOKUP(A31,SpecialAttacks!$A$2:$A$47,SpecialAttacks!$P$2:$P$47),"")</f>
        <v/>
      </c>
      <c r="F31" s="225" t="str">
        <f>IF(A31&lt;&gt;"",LOOKUP(A31,SpecialAttacks!$A$2:$A$47,SpecialAttacks!$R$2:$R$47),"")</f>
        <v/>
      </c>
      <c r="G31" s="227" t="str">
        <f>IF(A31&lt;&gt;"",LOOKUP(A31,SpecialAttacks!$A$2:$A$47,SpecialAttacks!$W$2:$W$47),"")</f>
        <v/>
      </c>
      <c r="H31" s="204" t="str">
        <f>IF(A31&lt;&gt;"",LOOKUP(A31,SpecialAttacks!$A$2:$A$47,SpecialAttacks!$X$2:$X$47),"")</f>
        <v/>
      </c>
      <c r="I31" s="228" t="str">
        <f>IF(A31&lt;&gt;"",LOOKUP(A31,SpecialAttacks!$A$2:$A$47,SpecialAttacks!$Y$2:$Y$47),"")</f>
        <v/>
      </c>
      <c r="J31" s="229"/>
      <c r="K31" s="197"/>
      <c r="L31" s="197"/>
      <c r="M31" s="198"/>
    </row>
    <row r="32" spans="1:13">
      <c r="A32" s="44" t="str">
        <f>IF(CritterSheet!$B$1="White Mandare","Suspension Orb","")</f>
        <v/>
      </c>
      <c r="B32" s="202" t="str">
        <f>IF(A32&lt;&gt;"",LOOKUP(A32,SpecialAttacks!$A$2:$A$47,SpecialAttacks!$V$2:$V$47),"")</f>
        <v/>
      </c>
      <c r="C32" s="62" t="str">
        <f>IF(A32&lt;&gt;"",LOOKUP(A32,SpecialAttacks!$A$2:$A$47,SpecialAttacks!$N$2:$N$47),"")</f>
        <v/>
      </c>
      <c r="D32" s="61" t="str">
        <f>IF(A32&lt;&gt;"",LOOKUP(A32,SpecialAttacks!$A$2:$A$47,SpecialAttacks!$Q$2:$Q$47),"")</f>
        <v/>
      </c>
      <c r="E32" s="62" t="str">
        <f>IF(A32&lt;&gt;"",LOOKUP(A32,SpecialAttacks!$A$2:$A$47,SpecialAttacks!$P$2:$P$47),"")</f>
        <v/>
      </c>
      <c r="F32" s="226" t="str">
        <f>IF(A32&lt;&gt;"",LOOKUP(A32,SpecialAttacks!$A$2:$A$47,SpecialAttacks!$R$2:$R$47),"")</f>
        <v/>
      </c>
      <c r="G32" s="62" t="str">
        <f>IF(A32&lt;&gt;"",LOOKUP(A32,SpecialAttacks!$A$2:$A$47,SpecialAttacks!$W$2:$W$47),"")</f>
        <v/>
      </c>
      <c r="H32" s="61" t="str">
        <f>IF(A32&lt;&gt;"",LOOKUP(A32,SpecialAttacks!$A$2:$A$47,SpecialAttacks!$X$2:$X$47),"")</f>
        <v/>
      </c>
      <c r="I32" s="215" t="str">
        <f>IF(A32&lt;&gt;"",LOOKUP(A32,SpecialAttacks!$A$2:$A$47,SpecialAttacks!$Y$2:$Y$47),"")</f>
        <v/>
      </c>
      <c r="J32" s="13"/>
      <c r="K32" s="4"/>
      <c r="L32" s="10"/>
      <c r="M32" s="45"/>
    </row>
    <row r="33" spans="1:13">
      <c r="A33" s="206" t="str">
        <f>IF(CritterSheet!$B$1="White Mandare","Tumble","")</f>
        <v/>
      </c>
      <c r="B33" s="201" t="str">
        <f>IF(A33&lt;&gt;"",LOOKUP(A33,SpecialAttacks!$A$2:$A$47,SpecialAttacks!$V$2:$V$47),"")</f>
        <v/>
      </c>
      <c r="C33" s="227" t="str">
        <f>IF(A33&lt;&gt;"",LOOKUP(A33,SpecialAttacks!$A$2:$A$47,SpecialAttacks!$N$2:$N$47),"")</f>
        <v/>
      </c>
      <c r="D33" s="204" t="str">
        <f>IF(A33&lt;&gt;"",LOOKUP(A33,SpecialAttacks!$A$2:$A$47,SpecialAttacks!$Q$2:$Q$47),"")</f>
        <v/>
      </c>
      <c r="E33" s="227" t="str">
        <f>IF(A33&lt;&gt;"",LOOKUP(A33,SpecialAttacks!$A$2:$A$47,SpecialAttacks!$P$2:$P$47),"")</f>
        <v/>
      </c>
      <c r="F33" s="225" t="str">
        <f>IF(A33&lt;&gt;"",LOOKUP(A33,SpecialAttacks!$A$2:$A$47,SpecialAttacks!$R$2:$R$47),"")</f>
        <v/>
      </c>
      <c r="G33" s="227" t="str">
        <f>IF(A33&lt;&gt;"",LOOKUP(A33,SpecialAttacks!$A$2:$A$47,SpecialAttacks!$W$2:$W$47),"")</f>
        <v/>
      </c>
      <c r="H33" s="204" t="str">
        <f>IF(A33&lt;&gt;"",LOOKUP(A33,SpecialAttacks!$A$2:$A$47,SpecialAttacks!$X$2:$X$47),"")</f>
        <v/>
      </c>
      <c r="I33" s="228" t="str">
        <f>IF(A33&lt;&gt;"",LOOKUP(A33,SpecialAttacks!$A$2:$A$47,SpecialAttacks!$Y$2:$Y$47),"")</f>
        <v/>
      </c>
      <c r="J33" s="229"/>
      <c r="K33" s="197"/>
      <c r="L33" s="197"/>
      <c r="M33" s="198"/>
    </row>
    <row r="34" spans="1:13">
      <c r="A34" s="44" t="str">
        <f>IF(CritterSheet!$B$1="White Mandare","Wall","")</f>
        <v/>
      </c>
      <c r="B34" s="202" t="str">
        <f>IF(A34&lt;&gt;"",LOOKUP(A34,SpecialAttacks!$A$2:$A$47,SpecialAttacks!$V$2:$V$47),"")</f>
        <v/>
      </c>
      <c r="C34" s="62" t="str">
        <f>IF(A34&lt;&gt;"",LOOKUP(A34,SpecialAttacks!$A$2:$A$47,SpecialAttacks!$N$2:$N$47),"")</f>
        <v/>
      </c>
      <c r="D34" s="61" t="str">
        <f>IF(A34&lt;&gt;"",LOOKUP(A34,SpecialAttacks!$A$2:$A$47,SpecialAttacks!$Q$2:$Q$47),"")</f>
        <v/>
      </c>
      <c r="E34" s="62" t="str">
        <f>IF(A34&lt;&gt;"",LOOKUP(A34,SpecialAttacks!$A$2:$A$47,SpecialAttacks!$P$2:$P$47),"")</f>
        <v/>
      </c>
      <c r="F34" s="226" t="str">
        <f>IF(A34&lt;&gt;"",LOOKUP(A34,SpecialAttacks!$A$2:$A$47,SpecialAttacks!$R$2:$R$47),"")</f>
        <v/>
      </c>
      <c r="G34" s="62" t="str">
        <f>IF(A34&lt;&gt;"",LOOKUP(A34,SpecialAttacks!$A$2:$A$47,SpecialAttacks!$W$2:$W$47),"")</f>
        <v/>
      </c>
      <c r="H34" s="61" t="str">
        <f>IF(A34&lt;&gt;"",LOOKUP(A34,SpecialAttacks!$A$2:$A$47,SpecialAttacks!$X$2:$X$47),"")</f>
        <v/>
      </c>
      <c r="I34" s="215" t="str">
        <f>IF(A34&lt;&gt;"",LOOKUP(A34,SpecialAttacks!$A$2:$A$47,SpecialAttacks!$Y$2:$Y$47),"")</f>
        <v/>
      </c>
      <c r="J34" s="13"/>
      <c r="K34" s="4"/>
      <c r="L34" s="10"/>
      <c r="M34" s="45"/>
    </row>
    <row r="35" spans="1:13">
      <c r="A35" s="33"/>
      <c r="B35" s="12"/>
      <c r="C35" s="12"/>
      <c r="D35" s="12"/>
      <c r="E35" s="12"/>
      <c r="F35" s="74"/>
      <c r="G35" s="12"/>
      <c r="H35" s="2"/>
      <c r="I35" s="51"/>
      <c r="J35" s="2"/>
      <c r="K35" s="2"/>
      <c r="L35" s="51"/>
      <c r="M35" s="52"/>
    </row>
    <row r="36" spans="1:13">
      <c r="A36" s="33"/>
      <c r="B36" s="12"/>
      <c r="C36" s="12"/>
      <c r="D36" s="12"/>
      <c r="E36" s="12"/>
      <c r="F36" s="74"/>
      <c r="G36" s="12"/>
      <c r="H36" s="2"/>
      <c r="I36" s="2"/>
      <c r="J36" s="75"/>
      <c r="K36" s="47"/>
      <c r="L36" s="76"/>
      <c r="M36" s="23"/>
    </row>
    <row r="37" spans="1:13">
      <c r="A37" s="33"/>
      <c r="B37" s="12"/>
      <c r="C37" s="12"/>
      <c r="D37" s="12"/>
      <c r="E37" s="12"/>
      <c r="F37" s="74"/>
      <c r="G37" s="12"/>
      <c r="H37" s="2"/>
      <c r="I37" s="51"/>
      <c r="J37" s="2"/>
      <c r="K37" s="2"/>
      <c r="L37" s="51"/>
      <c r="M37" s="52"/>
    </row>
    <row r="38" spans="1:13">
      <c r="A38" s="33"/>
      <c r="B38" s="12"/>
      <c r="C38" s="12"/>
      <c r="D38" s="12"/>
      <c r="E38" s="12"/>
      <c r="F38" s="74"/>
      <c r="G38" s="12"/>
      <c r="H38" s="2"/>
      <c r="I38" s="2"/>
      <c r="J38" s="75"/>
      <c r="K38" s="47"/>
      <c r="L38" s="76"/>
      <c r="M38" s="23"/>
    </row>
    <row r="39" spans="1:13">
      <c r="A39" s="33"/>
      <c r="B39" s="12"/>
      <c r="C39" s="12"/>
      <c r="D39" s="12"/>
      <c r="E39" s="14"/>
      <c r="F39" s="14"/>
      <c r="G39" s="14"/>
      <c r="H39" s="2"/>
      <c r="I39" s="51"/>
      <c r="J39" s="2"/>
      <c r="K39" s="2"/>
      <c r="L39" s="51"/>
      <c r="M39" s="52"/>
    </row>
    <row r="40" spans="1:13">
      <c r="A40" s="33"/>
      <c r="B40" s="12"/>
      <c r="C40" s="12"/>
      <c r="D40" s="12"/>
      <c r="E40" s="57"/>
      <c r="F40" s="16"/>
      <c r="G40" s="57"/>
      <c r="H40" s="2"/>
      <c r="I40" s="2"/>
      <c r="J40" s="75"/>
      <c r="K40" s="47"/>
      <c r="L40" s="76"/>
      <c r="M40" s="23"/>
    </row>
    <row r="41" spans="1:13">
      <c r="A41" s="33"/>
      <c r="B41" s="12"/>
      <c r="C41" s="12"/>
      <c r="D41" s="12"/>
      <c r="E41" s="16"/>
      <c r="F41" s="16"/>
      <c r="G41" s="57"/>
      <c r="H41" s="2"/>
      <c r="I41" s="51"/>
      <c r="J41" s="2"/>
      <c r="K41" s="2"/>
      <c r="L41" s="51"/>
      <c r="M41" s="52"/>
    </row>
    <row r="42" spans="1:13">
      <c r="A42" s="53"/>
      <c r="B42" s="12"/>
      <c r="C42" s="12"/>
      <c r="D42" s="12"/>
      <c r="E42" s="16"/>
      <c r="F42" s="16"/>
      <c r="G42" s="16"/>
      <c r="H42" s="2"/>
      <c r="I42" s="2"/>
      <c r="J42" s="75"/>
      <c r="K42" s="47"/>
      <c r="L42" s="76"/>
      <c r="M42" s="23"/>
    </row>
    <row r="43" spans="1:13">
      <c r="A43" s="33"/>
      <c r="B43" s="12"/>
      <c r="C43" s="12"/>
      <c r="D43" s="12"/>
      <c r="E43" s="16"/>
      <c r="F43" s="16"/>
      <c r="G43" s="16"/>
      <c r="H43" s="2"/>
      <c r="I43" s="51"/>
      <c r="J43" s="2"/>
      <c r="K43" s="2"/>
      <c r="L43" s="51"/>
      <c r="M43" s="52"/>
    </row>
    <row r="44" spans="1:13">
      <c r="A44" s="29"/>
      <c r="B44" s="11"/>
      <c r="C44" s="11"/>
      <c r="D44" s="11"/>
      <c r="E44" s="66"/>
      <c r="F44" s="66"/>
      <c r="G44" s="66"/>
      <c r="H44" s="2"/>
      <c r="I44" s="2"/>
      <c r="J44" s="75"/>
      <c r="K44" s="47"/>
      <c r="L44" s="76"/>
      <c r="M44" s="23"/>
    </row>
    <row r="45" spans="1:13">
      <c r="A45" s="53"/>
      <c r="B45" s="12"/>
      <c r="C45" s="12"/>
      <c r="D45" s="12"/>
      <c r="E45" s="16"/>
      <c r="F45" s="16"/>
      <c r="G45" s="16"/>
      <c r="H45" s="2"/>
      <c r="I45" s="51"/>
      <c r="J45" s="2"/>
      <c r="K45" s="2"/>
      <c r="L45" s="51"/>
      <c r="M45" s="52"/>
    </row>
    <row r="46" spans="1:13">
      <c r="A46" s="22"/>
      <c r="B46" s="14"/>
      <c r="C46" s="14"/>
      <c r="D46" s="14"/>
      <c r="E46" s="57"/>
      <c r="F46" s="16"/>
      <c r="G46" s="57"/>
      <c r="H46" s="2"/>
      <c r="I46" s="2"/>
      <c r="J46" s="2"/>
      <c r="K46" s="47"/>
      <c r="L46" s="76"/>
      <c r="M46" s="23"/>
    </row>
    <row r="47" spans="1:13">
      <c r="A47" s="53"/>
      <c r="B47" s="14"/>
      <c r="C47" s="14"/>
      <c r="D47" s="14"/>
      <c r="E47" s="57"/>
      <c r="F47" s="16"/>
      <c r="G47" s="57"/>
      <c r="H47" s="2"/>
      <c r="I47" s="51"/>
      <c r="J47" s="2"/>
      <c r="K47" s="2"/>
      <c r="L47" s="51"/>
      <c r="M47" s="52"/>
    </row>
    <row r="48" spans="1:13">
      <c r="A48" s="33"/>
      <c r="B48" s="14"/>
      <c r="C48" s="14"/>
      <c r="D48" s="14"/>
      <c r="E48" s="16"/>
      <c r="F48" s="16"/>
      <c r="G48" s="16"/>
      <c r="H48" s="2"/>
      <c r="I48" s="2"/>
      <c r="J48" s="2"/>
      <c r="K48" s="47"/>
      <c r="L48" s="76"/>
      <c r="M48" s="23"/>
    </row>
    <row r="49" spans="1:13">
      <c r="A49" s="53"/>
      <c r="B49" s="14"/>
      <c r="C49" s="14"/>
      <c r="D49" s="14"/>
      <c r="E49" s="16"/>
      <c r="F49" s="16"/>
      <c r="G49" s="16"/>
      <c r="H49" s="2"/>
      <c r="I49" s="51"/>
      <c r="J49" s="2"/>
      <c r="K49" s="2"/>
      <c r="L49" s="51"/>
      <c r="M49" s="52"/>
    </row>
    <row r="50" spans="1:13">
      <c r="A50" s="33"/>
      <c r="B50" s="14"/>
      <c r="C50" s="14"/>
      <c r="D50" s="14"/>
      <c r="E50" s="16"/>
      <c r="F50" s="16"/>
      <c r="G50" s="16"/>
      <c r="H50" s="2"/>
      <c r="I50" s="51"/>
      <c r="J50" s="2"/>
      <c r="K50" s="2"/>
      <c r="L50" s="51"/>
      <c r="M50" s="52"/>
    </row>
    <row r="51" spans="1:13" ht="14" thickBot="1">
      <c r="A51" s="24"/>
      <c r="B51" s="28"/>
      <c r="C51" s="28"/>
      <c r="D51" s="28"/>
      <c r="E51" s="28"/>
      <c r="F51" s="28"/>
      <c r="G51" s="28"/>
      <c r="H51" s="28"/>
      <c r="I51" s="114"/>
      <c r="J51" s="28"/>
      <c r="K51" s="28"/>
      <c r="L51" s="114"/>
      <c r="M51" s="71"/>
    </row>
  </sheetData>
  <sheetCalcPr fullCalcOnLoad="1"/>
  <sheetProtection sheet="1" objects="1" scenarios="1"/>
  <phoneticPr fontId="0"/>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G122"/>
  <sheetViews>
    <sheetView workbookViewId="0">
      <selection activeCell="E24" sqref="E24"/>
    </sheetView>
  </sheetViews>
  <sheetFormatPr baseColWidth="10" defaultColWidth="11" defaultRowHeight="13"/>
  <cols>
    <col min="2" max="2" width="9.1640625" customWidth="1"/>
  </cols>
  <sheetData>
    <row r="1" spans="1:7" ht="48">
      <c r="A1" s="255" t="s">
        <v>1583</v>
      </c>
      <c r="B1" s="256" t="s">
        <v>1541</v>
      </c>
      <c r="E1" s="255" t="s">
        <v>650</v>
      </c>
      <c r="F1" s="255" t="s">
        <v>649</v>
      </c>
      <c r="G1" s="255" t="s">
        <v>648</v>
      </c>
    </row>
    <row r="2" spans="1:7" ht="16">
      <c r="A2" s="255">
        <v>-20</v>
      </c>
      <c r="B2" s="257">
        <v>-5</v>
      </c>
      <c r="E2" s="258" t="s">
        <v>1378</v>
      </c>
      <c r="F2" s="257">
        <v>-12</v>
      </c>
      <c r="G2" s="257">
        <v>12</v>
      </c>
    </row>
    <row r="3" spans="1:7" ht="16">
      <c r="A3" s="255">
        <v>-19</v>
      </c>
      <c r="B3" s="257">
        <v>-5</v>
      </c>
      <c r="E3" s="258" t="s">
        <v>1379</v>
      </c>
      <c r="F3" s="257">
        <v>-11</v>
      </c>
      <c r="G3" s="257">
        <v>11</v>
      </c>
    </row>
    <row r="4" spans="1:7" ht="16">
      <c r="A4" s="255">
        <v>-18</v>
      </c>
      <c r="B4" s="257">
        <v>-5</v>
      </c>
      <c r="E4" s="258" t="s">
        <v>1033</v>
      </c>
      <c r="F4" s="257">
        <v>-10</v>
      </c>
      <c r="G4" s="257">
        <v>10</v>
      </c>
    </row>
    <row r="5" spans="1:7" ht="16">
      <c r="A5" s="255">
        <v>-17</v>
      </c>
      <c r="B5" s="257">
        <v>-5</v>
      </c>
      <c r="E5" s="258" t="s">
        <v>1380</v>
      </c>
      <c r="F5" s="257">
        <v>-9</v>
      </c>
      <c r="G5" s="257">
        <v>9</v>
      </c>
    </row>
    <row r="6" spans="1:7" ht="16">
      <c r="A6" s="255">
        <v>-16</v>
      </c>
      <c r="B6" s="257">
        <v>-5</v>
      </c>
      <c r="E6" s="258" t="s">
        <v>1535</v>
      </c>
      <c r="F6" s="257">
        <v>-8</v>
      </c>
      <c r="G6" s="257">
        <v>8</v>
      </c>
    </row>
    <row r="7" spans="1:7" ht="16">
      <c r="A7" s="255">
        <v>-15</v>
      </c>
      <c r="B7" s="257">
        <v>-5</v>
      </c>
      <c r="E7" s="258" t="s">
        <v>1780</v>
      </c>
      <c r="F7" s="257">
        <v>-5</v>
      </c>
      <c r="G7" s="257">
        <v>5</v>
      </c>
    </row>
    <row r="8" spans="1:7" ht="48">
      <c r="A8" s="255">
        <v>-14</v>
      </c>
      <c r="B8" s="257">
        <v>-5</v>
      </c>
      <c r="E8" s="258" t="s">
        <v>1533</v>
      </c>
      <c r="F8" s="257">
        <v>-3</v>
      </c>
      <c r="G8" s="257">
        <v>3</v>
      </c>
    </row>
    <row r="9" spans="1:7" ht="16">
      <c r="A9" s="255">
        <v>-13</v>
      </c>
      <c r="B9" s="257">
        <v>-5</v>
      </c>
      <c r="E9" s="258" t="s">
        <v>2129</v>
      </c>
      <c r="F9" s="257">
        <v>-1</v>
      </c>
      <c r="G9" s="257">
        <v>1</v>
      </c>
    </row>
    <row r="10" spans="1:7" ht="16">
      <c r="A10" s="255">
        <v>-12</v>
      </c>
      <c r="B10" s="257">
        <v>-5</v>
      </c>
      <c r="E10" s="258" t="s">
        <v>1282</v>
      </c>
      <c r="F10" s="257">
        <v>0</v>
      </c>
      <c r="G10" s="257">
        <v>0</v>
      </c>
    </row>
    <row r="11" spans="1:7" ht="16">
      <c r="A11" s="255">
        <v>-11</v>
      </c>
      <c r="B11" s="257">
        <v>-5</v>
      </c>
      <c r="E11" s="258" t="s">
        <v>1429</v>
      </c>
      <c r="F11" s="257">
        <v>1</v>
      </c>
      <c r="G11" s="257">
        <v>-1</v>
      </c>
    </row>
    <row r="12" spans="1:7" ht="16">
      <c r="A12" s="255">
        <v>-10</v>
      </c>
      <c r="B12" s="257">
        <v>-5</v>
      </c>
      <c r="E12" s="258" t="s">
        <v>1016</v>
      </c>
      <c r="F12" s="257">
        <v>2</v>
      </c>
      <c r="G12" s="257">
        <v>-2</v>
      </c>
    </row>
    <row r="13" spans="1:7" ht="32">
      <c r="A13" s="255">
        <v>-9</v>
      </c>
      <c r="B13" s="257">
        <v>-5</v>
      </c>
      <c r="E13" s="258" t="s">
        <v>1534</v>
      </c>
      <c r="F13" s="257">
        <v>3</v>
      </c>
      <c r="G13" s="257">
        <v>-3</v>
      </c>
    </row>
    <row r="14" spans="1:7" ht="16">
      <c r="A14" s="255">
        <v>-8</v>
      </c>
      <c r="B14" s="257">
        <v>-5</v>
      </c>
      <c r="E14" s="258" t="s">
        <v>1770</v>
      </c>
      <c r="F14" s="257">
        <v>4</v>
      </c>
      <c r="G14" s="257">
        <v>-4</v>
      </c>
    </row>
    <row r="15" spans="1:7" ht="32">
      <c r="A15" s="255">
        <v>-7</v>
      </c>
      <c r="B15" s="257">
        <v>-5</v>
      </c>
      <c r="E15" s="258" t="s">
        <v>1787</v>
      </c>
      <c r="F15" s="257">
        <v>5</v>
      </c>
      <c r="G15" s="257">
        <v>-5</v>
      </c>
    </row>
    <row r="16" spans="1:7" ht="64">
      <c r="A16" s="255">
        <v>-6</v>
      </c>
      <c r="B16" s="257">
        <v>-5</v>
      </c>
      <c r="E16" s="258" t="s">
        <v>1781</v>
      </c>
      <c r="F16" s="257">
        <v>6</v>
      </c>
      <c r="G16" s="257">
        <v>-6</v>
      </c>
    </row>
    <row r="17" spans="1:7" ht="32">
      <c r="A17" s="255">
        <v>-5</v>
      </c>
      <c r="B17" s="257">
        <v>-5</v>
      </c>
      <c r="E17" s="258" t="s">
        <v>1782</v>
      </c>
      <c r="F17" s="257">
        <v>7</v>
      </c>
      <c r="G17" s="257">
        <v>-7</v>
      </c>
    </row>
    <row r="18" spans="1:7" ht="48">
      <c r="A18" s="255">
        <v>-4</v>
      </c>
      <c r="B18" s="257">
        <v>-5</v>
      </c>
      <c r="E18" s="258" t="s">
        <v>1976</v>
      </c>
      <c r="F18" s="257">
        <v>8</v>
      </c>
      <c r="G18" s="257">
        <v>-8</v>
      </c>
    </row>
    <row r="19" spans="1:7" ht="16">
      <c r="A19" s="255">
        <v>-3</v>
      </c>
      <c r="B19" s="257">
        <v>-5</v>
      </c>
      <c r="E19" s="258" t="s">
        <v>1683</v>
      </c>
      <c r="F19" s="257">
        <v>9</v>
      </c>
      <c r="G19" s="257">
        <v>-9</v>
      </c>
    </row>
    <row r="20" spans="1:7" ht="16">
      <c r="A20" s="255">
        <v>-2</v>
      </c>
      <c r="B20" s="257">
        <v>-5</v>
      </c>
    </row>
    <row r="21" spans="1:7" ht="16">
      <c r="A21" s="255">
        <v>-1</v>
      </c>
      <c r="B21" s="257">
        <v>-5</v>
      </c>
    </row>
    <row r="22" spans="1:7" ht="16">
      <c r="A22" s="255">
        <v>0</v>
      </c>
      <c r="B22" s="257">
        <v>-5</v>
      </c>
    </row>
    <row r="23" spans="1:7" ht="16">
      <c r="A23" s="257">
        <v>1</v>
      </c>
      <c r="B23" s="257">
        <v>-5</v>
      </c>
    </row>
    <row r="24" spans="1:7" ht="16">
      <c r="A24" s="257">
        <v>2</v>
      </c>
      <c r="B24" s="257">
        <v>-4</v>
      </c>
    </row>
    <row r="25" spans="1:7" ht="16">
      <c r="A25" s="259">
        <v>3</v>
      </c>
      <c r="B25" s="259">
        <v>-4</v>
      </c>
    </row>
    <row r="26" spans="1:7" ht="16">
      <c r="A26" s="259">
        <v>4</v>
      </c>
      <c r="B26" s="259">
        <v>-3</v>
      </c>
    </row>
    <row r="27" spans="1:7" ht="16">
      <c r="A27" s="259">
        <v>5</v>
      </c>
      <c r="B27" s="259">
        <v>-3</v>
      </c>
    </row>
    <row r="28" spans="1:7" ht="16">
      <c r="A28" s="259">
        <v>6</v>
      </c>
      <c r="B28" s="259">
        <v>-2</v>
      </c>
    </row>
    <row r="29" spans="1:7" ht="16">
      <c r="A29" s="259">
        <v>7</v>
      </c>
      <c r="B29" s="259">
        <v>-2</v>
      </c>
    </row>
    <row r="30" spans="1:7" ht="16">
      <c r="A30" s="259">
        <v>8</v>
      </c>
      <c r="B30" s="259">
        <v>-1</v>
      </c>
    </row>
    <row r="31" spans="1:7" ht="16">
      <c r="A31" s="259">
        <v>9</v>
      </c>
      <c r="B31" s="259">
        <v>-1</v>
      </c>
    </row>
    <row r="32" spans="1:7" ht="16">
      <c r="A32" s="259">
        <v>10</v>
      </c>
      <c r="B32" s="259">
        <v>0</v>
      </c>
    </row>
    <row r="33" spans="1:2" ht="16">
      <c r="A33" s="259">
        <v>11</v>
      </c>
      <c r="B33" s="259">
        <v>0</v>
      </c>
    </row>
    <row r="34" spans="1:2" ht="16">
      <c r="A34" s="259">
        <v>12</v>
      </c>
      <c r="B34" s="259">
        <v>1</v>
      </c>
    </row>
    <row r="35" spans="1:2" ht="16">
      <c r="A35" s="259">
        <v>13</v>
      </c>
      <c r="B35" s="259">
        <v>1</v>
      </c>
    </row>
    <row r="36" spans="1:2" ht="16">
      <c r="A36" s="259">
        <v>14</v>
      </c>
      <c r="B36" s="259">
        <v>2</v>
      </c>
    </row>
    <row r="37" spans="1:2" ht="16">
      <c r="A37" s="259">
        <v>15</v>
      </c>
      <c r="B37" s="259">
        <v>2</v>
      </c>
    </row>
    <row r="38" spans="1:2" ht="16">
      <c r="A38" s="259">
        <v>16</v>
      </c>
      <c r="B38" s="259">
        <v>3</v>
      </c>
    </row>
    <row r="39" spans="1:2" ht="16">
      <c r="A39" s="259">
        <v>17</v>
      </c>
      <c r="B39" s="259">
        <v>3</v>
      </c>
    </row>
    <row r="40" spans="1:2" ht="16">
      <c r="A40" s="259">
        <v>18</v>
      </c>
      <c r="B40" s="259">
        <v>4</v>
      </c>
    </row>
    <row r="41" spans="1:2" ht="16">
      <c r="A41" s="257">
        <v>19</v>
      </c>
      <c r="B41" s="257">
        <v>4</v>
      </c>
    </row>
    <row r="42" spans="1:2" ht="16">
      <c r="A42" s="257">
        <v>20</v>
      </c>
      <c r="B42" s="257">
        <v>5</v>
      </c>
    </row>
    <row r="43" spans="1:2" ht="16">
      <c r="A43" s="257">
        <v>21</v>
      </c>
      <c r="B43" s="257">
        <v>5</v>
      </c>
    </row>
    <row r="44" spans="1:2" ht="16">
      <c r="A44" s="257">
        <v>22</v>
      </c>
      <c r="B44" s="257">
        <v>6</v>
      </c>
    </row>
    <row r="45" spans="1:2" ht="16">
      <c r="A45" s="257">
        <v>23</v>
      </c>
      <c r="B45" s="257">
        <v>6</v>
      </c>
    </row>
    <row r="46" spans="1:2" ht="16">
      <c r="A46" s="257">
        <v>24</v>
      </c>
      <c r="B46" s="257">
        <v>7</v>
      </c>
    </row>
    <row r="47" spans="1:2" ht="16">
      <c r="A47" s="257">
        <v>25</v>
      </c>
      <c r="B47" s="257">
        <v>7</v>
      </c>
    </row>
    <row r="48" spans="1:2" ht="16">
      <c r="A48" s="257">
        <v>26</v>
      </c>
      <c r="B48" s="257">
        <v>8</v>
      </c>
    </row>
    <row r="49" spans="1:2" ht="16">
      <c r="A49" s="257">
        <v>27</v>
      </c>
      <c r="B49" s="257">
        <v>8</v>
      </c>
    </row>
    <row r="50" spans="1:2" ht="16">
      <c r="A50" s="257">
        <v>28</v>
      </c>
      <c r="B50" s="257">
        <v>9</v>
      </c>
    </row>
    <row r="51" spans="1:2" ht="16">
      <c r="A51" s="257">
        <v>29</v>
      </c>
      <c r="B51" s="257">
        <v>9</v>
      </c>
    </row>
    <row r="52" spans="1:2" ht="16">
      <c r="A52" s="257">
        <v>30</v>
      </c>
      <c r="B52" s="257">
        <v>10</v>
      </c>
    </row>
    <row r="53" spans="1:2" ht="16">
      <c r="A53" s="257">
        <v>31</v>
      </c>
      <c r="B53" s="257">
        <v>10</v>
      </c>
    </row>
    <row r="54" spans="1:2" ht="16">
      <c r="A54" s="257">
        <v>32</v>
      </c>
      <c r="B54" s="257">
        <v>11</v>
      </c>
    </row>
    <row r="55" spans="1:2" ht="16">
      <c r="A55" s="257">
        <v>33</v>
      </c>
      <c r="B55" s="257">
        <v>11</v>
      </c>
    </row>
    <row r="56" spans="1:2" ht="16">
      <c r="A56" s="257">
        <v>34</v>
      </c>
      <c r="B56" s="257">
        <v>12</v>
      </c>
    </row>
    <row r="57" spans="1:2" ht="16">
      <c r="A57" s="257">
        <v>35</v>
      </c>
      <c r="B57" s="257">
        <v>12</v>
      </c>
    </row>
    <row r="58" spans="1:2" ht="16">
      <c r="A58" s="257">
        <v>36</v>
      </c>
      <c r="B58" s="257">
        <v>13</v>
      </c>
    </row>
    <row r="59" spans="1:2" ht="16">
      <c r="A59" s="257">
        <v>37</v>
      </c>
      <c r="B59" s="257">
        <v>13</v>
      </c>
    </row>
    <row r="60" spans="1:2" ht="16">
      <c r="A60" s="257">
        <v>38</v>
      </c>
      <c r="B60" s="257">
        <v>14</v>
      </c>
    </row>
    <row r="61" spans="1:2" ht="16">
      <c r="A61" s="257">
        <v>39</v>
      </c>
      <c r="B61" s="257">
        <v>14</v>
      </c>
    </row>
    <row r="62" spans="1:2" ht="16">
      <c r="A62" s="257">
        <v>40</v>
      </c>
      <c r="B62" s="257">
        <v>15</v>
      </c>
    </row>
    <row r="63" spans="1:2" ht="16">
      <c r="A63" s="257">
        <v>41</v>
      </c>
      <c r="B63" s="257">
        <v>15</v>
      </c>
    </row>
    <row r="64" spans="1:2" ht="16">
      <c r="A64" s="257">
        <v>42</v>
      </c>
      <c r="B64" s="257">
        <v>16</v>
      </c>
    </row>
    <row r="65" spans="1:2" ht="16">
      <c r="A65" s="257">
        <v>43</v>
      </c>
      <c r="B65" s="257">
        <v>16</v>
      </c>
    </row>
    <row r="66" spans="1:2" ht="16">
      <c r="A66" s="257">
        <v>44</v>
      </c>
      <c r="B66" s="257">
        <v>17</v>
      </c>
    </row>
    <row r="67" spans="1:2" ht="16">
      <c r="A67" s="257">
        <v>45</v>
      </c>
      <c r="B67" s="257">
        <v>17</v>
      </c>
    </row>
    <row r="68" spans="1:2" ht="16">
      <c r="A68" s="257">
        <v>46</v>
      </c>
      <c r="B68" s="257">
        <v>18</v>
      </c>
    </row>
    <row r="69" spans="1:2" ht="16">
      <c r="A69" s="257">
        <v>47</v>
      </c>
      <c r="B69" s="257">
        <v>18</v>
      </c>
    </row>
    <row r="70" spans="1:2" ht="16">
      <c r="A70" s="257">
        <v>48</v>
      </c>
      <c r="B70" s="257">
        <v>19</v>
      </c>
    </row>
    <row r="71" spans="1:2" ht="16">
      <c r="A71" s="257">
        <v>49</v>
      </c>
      <c r="B71" s="257">
        <v>19</v>
      </c>
    </row>
    <row r="72" spans="1:2" ht="16">
      <c r="A72" s="257">
        <v>50</v>
      </c>
      <c r="B72" s="257">
        <v>20</v>
      </c>
    </row>
    <row r="73" spans="1:2" ht="16">
      <c r="A73" s="257">
        <v>51</v>
      </c>
      <c r="B73" s="257">
        <v>20</v>
      </c>
    </row>
    <row r="74" spans="1:2" ht="16">
      <c r="A74" s="257">
        <v>52</v>
      </c>
      <c r="B74" s="257">
        <v>21</v>
      </c>
    </row>
    <row r="75" spans="1:2" ht="16">
      <c r="A75" s="257">
        <v>53</v>
      </c>
      <c r="B75" s="257">
        <v>21</v>
      </c>
    </row>
    <row r="76" spans="1:2" ht="16">
      <c r="A76" s="257">
        <v>54</v>
      </c>
      <c r="B76" s="257">
        <v>22</v>
      </c>
    </row>
    <row r="77" spans="1:2" ht="16">
      <c r="A77" s="257">
        <v>55</v>
      </c>
      <c r="B77" s="257">
        <v>22</v>
      </c>
    </row>
    <row r="78" spans="1:2" ht="16">
      <c r="A78" s="257">
        <v>56</v>
      </c>
      <c r="B78" s="257">
        <v>23</v>
      </c>
    </row>
    <row r="79" spans="1:2" ht="16">
      <c r="A79" s="257">
        <v>57</v>
      </c>
      <c r="B79" s="257">
        <v>23</v>
      </c>
    </row>
    <row r="80" spans="1:2" ht="16">
      <c r="A80" s="257">
        <v>58</v>
      </c>
      <c r="B80" s="257">
        <v>24</v>
      </c>
    </row>
    <row r="81" spans="1:2" ht="16">
      <c r="A81" s="257">
        <v>59</v>
      </c>
      <c r="B81" s="257">
        <v>24</v>
      </c>
    </row>
    <row r="82" spans="1:2" ht="16">
      <c r="A82" s="257">
        <v>60</v>
      </c>
      <c r="B82" s="257">
        <v>25</v>
      </c>
    </row>
    <row r="83" spans="1:2" ht="16">
      <c r="A83" s="257">
        <v>61</v>
      </c>
      <c r="B83" s="257">
        <v>25</v>
      </c>
    </row>
    <row r="84" spans="1:2" ht="16">
      <c r="A84" s="257">
        <v>62</v>
      </c>
      <c r="B84" s="257">
        <v>26</v>
      </c>
    </row>
    <row r="85" spans="1:2" ht="16">
      <c r="A85" s="257">
        <v>63</v>
      </c>
      <c r="B85" s="257">
        <v>26</v>
      </c>
    </row>
    <row r="86" spans="1:2" ht="16">
      <c r="A86" s="257">
        <v>64</v>
      </c>
      <c r="B86" s="257">
        <v>27</v>
      </c>
    </row>
    <row r="87" spans="1:2" ht="16">
      <c r="A87" s="257">
        <v>65</v>
      </c>
      <c r="B87" s="257">
        <v>27</v>
      </c>
    </row>
    <row r="88" spans="1:2" ht="16">
      <c r="A88" s="257">
        <v>66</v>
      </c>
      <c r="B88" s="257">
        <v>28</v>
      </c>
    </row>
    <row r="89" spans="1:2" ht="16">
      <c r="A89" s="257">
        <v>67</v>
      </c>
      <c r="B89" s="257">
        <v>28</v>
      </c>
    </row>
    <row r="90" spans="1:2" ht="16">
      <c r="A90" s="257">
        <v>68</v>
      </c>
      <c r="B90" s="257">
        <v>29</v>
      </c>
    </row>
    <row r="91" spans="1:2" ht="16">
      <c r="A91" s="257">
        <v>69</v>
      </c>
      <c r="B91" s="257">
        <v>29</v>
      </c>
    </row>
    <row r="92" spans="1:2" ht="16">
      <c r="A92" s="257">
        <v>70</v>
      </c>
      <c r="B92" s="257">
        <v>30</v>
      </c>
    </row>
    <row r="93" spans="1:2" ht="16">
      <c r="A93" s="257">
        <v>71</v>
      </c>
      <c r="B93" s="257">
        <v>30</v>
      </c>
    </row>
    <row r="94" spans="1:2" ht="16">
      <c r="A94" s="257">
        <v>72</v>
      </c>
      <c r="B94" s="257">
        <v>31</v>
      </c>
    </row>
    <row r="95" spans="1:2" ht="16">
      <c r="A95" s="257">
        <v>73</v>
      </c>
      <c r="B95" s="257">
        <v>31</v>
      </c>
    </row>
    <row r="96" spans="1:2" ht="16">
      <c r="A96" s="257">
        <v>74</v>
      </c>
      <c r="B96" s="257">
        <v>32</v>
      </c>
    </row>
    <row r="97" spans="1:2" ht="16">
      <c r="A97" s="257">
        <v>75</v>
      </c>
      <c r="B97" s="257">
        <v>32</v>
      </c>
    </row>
    <row r="98" spans="1:2" ht="16">
      <c r="A98" s="257">
        <v>76</v>
      </c>
      <c r="B98" s="257">
        <v>33</v>
      </c>
    </row>
    <row r="99" spans="1:2" ht="16">
      <c r="A99" s="257">
        <v>77</v>
      </c>
      <c r="B99" s="257">
        <v>33</v>
      </c>
    </row>
    <row r="100" spans="1:2" ht="16">
      <c r="A100" s="257">
        <v>78</v>
      </c>
      <c r="B100" s="257">
        <v>34</v>
      </c>
    </row>
    <row r="101" spans="1:2" ht="16">
      <c r="A101" s="257">
        <v>79</v>
      </c>
      <c r="B101" s="257">
        <v>34</v>
      </c>
    </row>
    <row r="102" spans="1:2" ht="16">
      <c r="A102" s="257">
        <v>80</v>
      </c>
      <c r="B102" s="257">
        <v>35</v>
      </c>
    </row>
    <row r="103" spans="1:2" ht="16">
      <c r="A103" s="257">
        <v>81</v>
      </c>
      <c r="B103" s="257">
        <v>35</v>
      </c>
    </row>
    <row r="104" spans="1:2" ht="16">
      <c r="A104" s="257">
        <v>82</v>
      </c>
      <c r="B104" s="257">
        <v>36</v>
      </c>
    </row>
    <row r="105" spans="1:2" ht="16">
      <c r="A105" s="257">
        <v>83</v>
      </c>
      <c r="B105" s="257">
        <v>36</v>
      </c>
    </row>
    <row r="106" spans="1:2" ht="16">
      <c r="A106" s="257">
        <v>84</v>
      </c>
      <c r="B106" s="257">
        <v>37</v>
      </c>
    </row>
    <row r="107" spans="1:2" ht="16">
      <c r="A107" s="257">
        <v>85</v>
      </c>
      <c r="B107" s="257">
        <v>37</v>
      </c>
    </row>
    <row r="108" spans="1:2" ht="16">
      <c r="A108" s="257">
        <v>86</v>
      </c>
      <c r="B108" s="257">
        <v>38</v>
      </c>
    </row>
    <row r="109" spans="1:2" ht="16">
      <c r="A109" s="257">
        <v>87</v>
      </c>
      <c r="B109" s="257">
        <v>38</v>
      </c>
    </row>
    <row r="110" spans="1:2" ht="16">
      <c r="A110" s="257">
        <v>88</v>
      </c>
      <c r="B110" s="257">
        <v>39</v>
      </c>
    </row>
    <row r="111" spans="1:2" ht="16">
      <c r="A111" s="257">
        <v>89</v>
      </c>
      <c r="B111" s="257">
        <v>39</v>
      </c>
    </row>
    <row r="112" spans="1:2" ht="16">
      <c r="A112" s="257">
        <v>90</v>
      </c>
      <c r="B112" s="257">
        <v>40</v>
      </c>
    </row>
    <row r="113" spans="1:2" ht="16">
      <c r="A113" s="257">
        <v>91</v>
      </c>
      <c r="B113" s="257">
        <v>40</v>
      </c>
    </row>
    <row r="114" spans="1:2" ht="16">
      <c r="A114" s="257">
        <v>92</v>
      </c>
      <c r="B114" s="257">
        <v>41</v>
      </c>
    </row>
    <row r="115" spans="1:2" ht="16">
      <c r="A115" s="257">
        <v>93</v>
      </c>
      <c r="B115" s="257">
        <v>41</v>
      </c>
    </row>
    <row r="116" spans="1:2" ht="16">
      <c r="A116" s="257">
        <v>94</v>
      </c>
      <c r="B116" s="257">
        <v>42</v>
      </c>
    </row>
    <row r="117" spans="1:2" ht="16">
      <c r="A117" s="257">
        <v>95</v>
      </c>
      <c r="B117" s="257">
        <v>42</v>
      </c>
    </row>
    <row r="118" spans="1:2" ht="16">
      <c r="A118" s="257">
        <v>96</v>
      </c>
      <c r="B118" s="257">
        <v>43</v>
      </c>
    </row>
    <row r="119" spans="1:2" ht="16">
      <c r="A119" s="257">
        <v>97</v>
      </c>
      <c r="B119" s="257">
        <v>43</v>
      </c>
    </row>
    <row r="120" spans="1:2" ht="16">
      <c r="A120" s="257">
        <v>98</v>
      </c>
      <c r="B120" s="257">
        <v>44</v>
      </c>
    </row>
    <row r="121" spans="1:2" ht="16">
      <c r="A121" s="257">
        <v>99</v>
      </c>
      <c r="B121" s="257">
        <v>44</v>
      </c>
    </row>
    <row r="122" spans="1:2" ht="16">
      <c r="A122" s="257">
        <v>100</v>
      </c>
      <c r="B122" s="257">
        <v>45</v>
      </c>
    </row>
  </sheetData>
  <sheetCalcPr fullCalcOnLoad="1"/>
  <phoneticPr fontId="0" type="noConversion"/>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94"/>
  <sheetViews>
    <sheetView workbookViewId="0"/>
  </sheetViews>
  <sheetFormatPr baseColWidth="10" defaultColWidth="11" defaultRowHeight="13"/>
  <cols>
    <col min="1" max="1" width="35.33203125" customWidth="1"/>
    <col min="2" max="2" width="19.5" customWidth="1"/>
  </cols>
  <sheetData>
    <row r="1" spans="1:2" ht="16">
      <c r="A1" s="91" t="s">
        <v>1252</v>
      </c>
      <c r="B1" s="92" t="s">
        <v>1253</v>
      </c>
    </row>
    <row r="2" spans="1:2" ht="16">
      <c r="A2" s="93" t="s">
        <v>1354</v>
      </c>
      <c r="B2" s="94" t="s">
        <v>1278</v>
      </c>
    </row>
    <row r="3" spans="1:2" ht="16">
      <c r="A3" s="93" t="s">
        <v>1225</v>
      </c>
      <c r="B3" s="94" t="s">
        <v>2351</v>
      </c>
    </row>
    <row r="4" spans="1:2" ht="16">
      <c r="A4" s="93" t="s">
        <v>1339</v>
      </c>
      <c r="B4" s="94" t="s">
        <v>2351</v>
      </c>
    </row>
    <row r="5" spans="1:2" ht="16">
      <c r="A5" s="93" t="s">
        <v>2191</v>
      </c>
      <c r="B5" s="94" t="s">
        <v>2071</v>
      </c>
    </row>
    <row r="6" spans="1:2" ht="16">
      <c r="A6" s="93" t="s">
        <v>2025</v>
      </c>
      <c r="B6" s="94" t="s">
        <v>2351</v>
      </c>
    </row>
    <row r="7" spans="1:2" ht="16">
      <c r="A7" s="93" t="s">
        <v>2396</v>
      </c>
      <c r="B7" s="94" t="s">
        <v>2351</v>
      </c>
    </row>
    <row r="8" spans="1:2" ht="16">
      <c r="A8" s="93" t="s">
        <v>2026</v>
      </c>
      <c r="B8" s="94" t="s">
        <v>2071</v>
      </c>
    </row>
    <row r="9" spans="1:2" ht="16">
      <c r="A9" s="93" t="s">
        <v>2027</v>
      </c>
      <c r="B9" s="94" t="s">
        <v>2071</v>
      </c>
    </row>
    <row r="10" spans="1:2" ht="16">
      <c r="A10" s="93" t="s">
        <v>1466</v>
      </c>
      <c r="B10" s="94" t="s">
        <v>2351</v>
      </c>
    </row>
    <row r="11" spans="1:2" ht="16">
      <c r="A11" s="93" t="s">
        <v>1467</v>
      </c>
      <c r="B11" s="94" t="s">
        <v>2071</v>
      </c>
    </row>
    <row r="12" spans="1:2" ht="16">
      <c r="A12" s="93" t="s">
        <v>1323</v>
      </c>
      <c r="B12" s="94" t="s">
        <v>1402</v>
      </c>
    </row>
    <row r="13" spans="1:2" ht="16">
      <c r="A13" s="93" t="s">
        <v>2268</v>
      </c>
      <c r="B13" s="94" t="s">
        <v>2059</v>
      </c>
    </row>
    <row r="14" spans="1:2" ht="16">
      <c r="A14" s="93" t="s">
        <v>2139</v>
      </c>
      <c r="B14" s="94" t="s">
        <v>2351</v>
      </c>
    </row>
    <row r="15" spans="1:2" ht="16">
      <c r="A15" s="93" t="s">
        <v>2136</v>
      </c>
      <c r="B15" s="94" t="s">
        <v>2351</v>
      </c>
    </row>
    <row r="16" spans="1:2" ht="16">
      <c r="A16" s="93" t="s">
        <v>1514</v>
      </c>
      <c r="B16" s="94" t="s">
        <v>2351</v>
      </c>
    </row>
    <row r="17" spans="1:2" ht="16">
      <c r="A17" s="93" t="s">
        <v>1980</v>
      </c>
      <c r="B17" s="94" t="s">
        <v>2351</v>
      </c>
    </row>
    <row r="18" spans="1:2" ht="16">
      <c r="A18" s="93" t="s">
        <v>1827</v>
      </c>
      <c r="B18" s="94" t="s">
        <v>2059</v>
      </c>
    </row>
    <row r="19" spans="1:2" ht="16">
      <c r="A19" s="93" t="s">
        <v>1828</v>
      </c>
      <c r="B19" s="94" t="s">
        <v>2351</v>
      </c>
    </row>
    <row r="20" spans="1:2" ht="16">
      <c r="A20" s="93" t="s">
        <v>2278</v>
      </c>
      <c r="B20" s="94" t="s">
        <v>2351</v>
      </c>
    </row>
    <row r="21" spans="1:2" ht="16">
      <c r="A21" s="93" t="s">
        <v>2362</v>
      </c>
      <c r="B21" s="94" t="s">
        <v>2059</v>
      </c>
    </row>
    <row r="22" spans="1:2" ht="16">
      <c r="A22" s="93" t="s">
        <v>1582</v>
      </c>
      <c r="B22" s="94" t="s">
        <v>2059</v>
      </c>
    </row>
    <row r="23" spans="1:2" ht="16">
      <c r="A23" s="93" t="s">
        <v>1575</v>
      </c>
      <c r="B23" s="94" t="s">
        <v>2059</v>
      </c>
    </row>
    <row r="24" spans="1:2" ht="16">
      <c r="A24" s="93" t="s">
        <v>1226</v>
      </c>
      <c r="B24" s="94" t="s">
        <v>2351</v>
      </c>
    </row>
    <row r="25" spans="1:2" ht="16">
      <c r="A25" s="93" t="s">
        <v>855</v>
      </c>
      <c r="B25" s="94" t="s">
        <v>2351</v>
      </c>
    </row>
    <row r="26" spans="1:2" ht="16">
      <c r="A26" s="93" t="s">
        <v>1557</v>
      </c>
      <c r="B26" s="94" t="s">
        <v>2059</v>
      </c>
    </row>
    <row r="27" spans="1:2" ht="16">
      <c r="A27" s="93" t="s">
        <v>1025</v>
      </c>
      <c r="B27" s="94" t="s">
        <v>2059</v>
      </c>
    </row>
    <row r="28" spans="1:2" ht="16">
      <c r="A28" s="93" t="s">
        <v>1024</v>
      </c>
      <c r="B28" s="94" t="s">
        <v>1278</v>
      </c>
    </row>
    <row r="29" spans="1:2" ht="16">
      <c r="A29" s="93" t="s">
        <v>1576</v>
      </c>
      <c r="B29" s="94" t="s">
        <v>2351</v>
      </c>
    </row>
    <row r="30" spans="1:2" ht="16">
      <c r="A30" s="93" t="s">
        <v>2309</v>
      </c>
      <c r="B30" s="94" t="s">
        <v>1402</v>
      </c>
    </row>
    <row r="31" spans="1:2" ht="16">
      <c r="A31" s="93" t="s">
        <v>2349</v>
      </c>
      <c r="B31" s="94" t="s">
        <v>1954</v>
      </c>
    </row>
    <row r="32" spans="1:2" ht="16">
      <c r="A32" s="93" t="s">
        <v>2500</v>
      </c>
      <c r="B32" s="94" t="s">
        <v>1278</v>
      </c>
    </row>
    <row r="33" spans="1:2" ht="16">
      <c r="A33" s="93" t="s">
        <v>1675</v>
      </c>
      <c r="B33" s="94" t="s">
        <v>2351</v>
      </c>
    </row>
    <row r="34" spans="1:2" ht="16">
      <c r="A34" s="93" t="s">
        <v>839</v>
      </c>
      <c r="B34" s="94" t="s">
        <v>2351</v>
      </c>
    </row>
    <row r="35" spans="1:2" ht="16">
      <c r="A35" s="93" t="s">
        <v>1999</v>
      </c>
      <c r="B35" s="94" t="s">
        <v>1278</v>
      </c>
    </row>
    <row r="36" spans="1:2" ht="16">
      <c r="A36" s="93" t="s">
        <v>1409</v>
      </c>
      <c r="B36" s="94" t="s">
        <v>1278</v>
      </c>
    </row>
    <row r="37" spans="1:2" ht="16">
      <c r="A37" s="93" t="s">
        <v>2019</v>
      </c>
      <c r="B37" s="94" t="s">
        <v>1613</v>
      </c>
    </row>
    <row r="38" spans="1:2" ht="16">
      <c r="A38" s="93" t="s">
        <v>1843</v>
      </c>
      <c r="B38" s="94" t="s">
        <v>1402</v>
      </c>
    </row>
    <row r="39" spans="1:2" ht="16">
      <c r="A39" s="93" t="s">
        <v>1844</v>
      </c>
      <c r="B39" s="94" t="s">
        <v>1278</v>
      </c>
    </row>
    <row r="40" spans="1:2" ht="16">
      <c r="A40" s="93" t="s">
        <v>1845</v>
      </c>
      <c r="B40" s="94" t="s">
        <v>1278</v>
      </c>
    </row>
    <row r="41" spans="1:2" ht="16">
      <c r="A41" s="93" t="s">
        <v>999</v>
      </c>
      <c r="B41" s="94" t="s">
        <v>2349</v>
      </c>
    </row>
    <row r="42" spans="1:2" ht="16">
      <c r="A42" s="93" t="s">
        <v>1608</v>
      </c>
      <c r="B42" s="94" t="s">
        <v>2351</v>
      </c>
    </row>
    <row r="43" spans="1:2" ht="16">
      <c r="A43" s="93" t="s">
        <v>2280</v>
      </c>
      <c r="B43" s="94" t="s">
        <v>2351</v>
      </c>
    </row>
    <row r="44" spans="1:2" ht="16">
      <c r="A44" s="93" t="s">
        <v>1410</v>
      </c>
      <c r="B44" s="94" t="s">
        <v>2059</v>
      </c>
    </row>
    <row r="45" spans="1:2" ht="16">
      <c r="A45" s="93" t="s">
        <v>1262</v>
      </c>
      <c r="B45" s="94" t="s">
        <v>1278</v>
      </c>
    </row>
    <row r="46" spans="1:2" ht="16">
      <c r="A46" s="93" t="s">
        <v>1673</v>
      </c>
      <c r="B46" s="94" t="s">
        <v>1278</v>
      </c>
    </row>
    <row r="47" spans="1:2" ht="16">
      <c r="A47" s="93" t="s">
        <v>1019</v>
      </c>
      <c r="B47" s="94" t="s">
        <v>2351</v>
      </c>
    </row>
    <row r="48" spans="1:2" ht="16">
      <c r="A48" s="93" t="s">
        <v>1767</v>
      </c>
      <c r="B48" s="94" t="s">
        <v>2351</v>
      </c>
    </row>
    <row r="49" spans="1:2" ht="16">
      <c r="A49" s="93" t="s">
        <v>1904</v>
      </c>
      <c r="B49" s="94" t="s">
        <v>2059</v>
      </c>
    </row>
    <row r="50" spans="1:2" ht="16">
      <c r="A50" s="93" t="s">
        <v>1905</v>
      </c>
      <c r="B50" s="94" t="s">
        <v>2059</v>
      </c>
    </row>
    <row r="51" spans="1:2" ht="16">
      <c r="A51" s="93" t="s">
        <v>1618</v>
      </c>
      <c r="B51" s="94" t="s">
        <v>1955</v>
      </c>
    </row>
    <row r="52" spans="1:2" ht="16">
      <c r="A52" s="93" t="s">
        <v>1994</v>
      </c>
      <c r="B52" s="94" t="s">
        <v>1955</v>
      </c>
    </row>
    <row r="53" spans="1:2" ht="16">
      <c r="A53" s="93" t="s">
        <v>1829</v>
      </c>
      <c r="B53" s="94" t="s">
        <v>1278</v>
      </c>
    </row>
    <row r="54" spans="1:2" ht="16">
      <c r="A54" s="93" t="s">
        <v>1830</v>
      </c>
      <c r="B54" s="94" t="s">
        <v>1278</v>
      </c>
    </row>
    <row r="55" spans="1:2" ht="16">
      <c r="A55" s="93" t="s">
        <v>2137</v>
      </c>
      <c r="B55" s="94" t="s">
        <v>2351</v>
      </c>
    </row>
    <row r="56" spans="1:2" ht="16">
      <c r="A56" s="93" t="s">
        <v>904</v>
      </c>
      <c r="B56" s="94" t="s">
        <v>1402</v>
      </c>
    </row>
    <row r="57" spans="1:2" ht="16">
      <c r="A57" s="93" t="s">
        <v>1017</v>
      </c>
      <c r="B57" s="94" t="s">
        <v>1955</v>
      </c>
    </row>
    <row r="58" spans="1:2" ht="16">
      <c r="A58" s="93" t="s">
        <v>1516</v>
      </c>
      <c r="B58" s="94" t="s">
        <v>2351</v>
      </c>
    </row>
    <row r="59" spans="1:2" ht="16">
      <c r="A59" s="93" t="s">
        <v>2140</v>
      </c>
      <c r="B59" s="94" t="s">
        <v>2351</v>
      </c>
    </row>
    <row r="60" spans="1:2" ht="16">
      <c r="A60" s="93" t="s">
        <v>1176</v>
      </c>
      <c r="B60" s="94" t="s">
        <v>1222</v>
      </c>
    </row>
    <row r="61" spans="1:2" ht="16">
      <c r="A61" s="93" t="s">
        <v>1223</v>
      </c>
      <c r="B61" s="94" t="s">
        <v>2059</v>
      </c>
    </row>
    <row r="62" spans="1:2" ht="16">
      <c r="A62" s="93" t="s">
        <v>1497</v>
      </c>
      <c r="B62" s="94" t="s">
        <v>2351</v>
      </c>
    </row>
    <row r="63" spans="1:2" ht="16">
      <c r="A63" s="93" t="s">
        <v>2365</v>
      </c>
      <c r="B63" s="94" t="s">
        <v>2059</v>
      </c>
    </row>
    <row r="64" spans="1:2" ht="16">
      <c r="A64" s="93" t="s">
        <v>997</v>
      </c>
      <c r="B64" s="94" t="s">
        <v>1278</v>
      </c>
    </row>
    <row r="65" spans="1:2" ht="16">
      <c r="A65" s="93" t="s">
        <v>998</v>
      </c>
      <c r="B65" s="94" t="s">
        <v>1278</v>
      </c>
    </row>
    <row r="66" spans="1:2" ht="16">
      <c r="A66" s="93" t="s">
        <v>2361</v>
      </c>
      <c r="B66" s="94" t="s">
        <v>2351</v>
      </c>
    </row>
    <row r="67" spans="1:2" ht="16">
      <c r="A67" s="93" t="s">
        <v>1122</v>
      </c>
      <c r="B67" s="94" t="s">
        <v>2351</v>
      </c>
    </row>
    <row r="68" spans="1:2" ht="16">
      <c r="A68" s="93" t="s">
        <v>2018</v>
      </c>
      <c r="B68" s="94" t="s">
        <v>1278</v>
      </c>
    </row>
    <row r="69" spans="1:2" ht="16">
      <c r="A69" s="93" t="s">
        <v>1027</v>
      </c>
      <c r="B69" s="94" t="s">
        <v>1954</v>
      </c>
    </row>
    <row r="70" spans="1:2" ht="16">
      <c r="A70" s="93" t="s">
        <v>1846</v>
      </c>
      <c r="B70" s="94" t="s">
        <v>1402</v>
      </c>
    </row>
    <row r="71" spans="1:2" ht="16">
      <c r="A71" s="93" t="s">
        <v>1847</v>
      </c>
      <c r="B71" s="94" t="s">
        <v>2351</v>
      </c>
    </row>
    <row r="72" spans="1:2" ht="16">
      <c r="A72" s="93" t="s">
        <v>2138</v>
      </c>
      <c r="B72" s="94" t="s">
        <v>2351</v>
      </c>
    </row>
    <row r="73" spans="1:2" ht="16">
      <c r="A73" s="93" t="s">
        <v>1254</v>
      </c>
      <c r="B73" s="94" t="s">
        <v>1278</v>
      </c>
    </row>
    <row r="74" spans="1:2" ht="16">
      <c r="A74" s="93" t="s">
        <v>1414</v>
      </c>
      <c r="B74" s="94" t="s">
        <v>1278</v>
      </c>
    </row>
    <row r="75" spans="1:2" ht="16">
      <c r="A75" s="93" t="s">
        <v>1415</v>
      </c>
      <c r="B75" s="94" t="s">
        <v>1278</v>
      </c>
    </row>
    <row r="76" spans="1:2" ht="16">
      <c r="A76" s="93" t="s">
        <v>1149</v>
      </c>
      <c r="B76" s="94" t="s">
        <v>1402</v>
      </c>
    </row>
    <row r="77" spans="1:2" ht="16">
      <c r="A77" s="93" t="s">
        <v>1150</v>
      </c>
      <c r="B77" s="94" t="s">
        <v>2059</v>
      </c>
    </row>
    <row r="78" spans="1:2" ht="16">
      <c r="A78" s="93" t="s">
        <v>1496</v>
      </c>
      <c r="B78" s="94" t="s">
        <v>2351</v>
      </c>
    </row>
    <row r="79" spans="1:2" ht="16">
      <c r="A79" s="93" t="s">
        <v>1515</v>
      </c>
      <c r="B79" s="94" t="s">
        <v>2351</v>
      </c>
    </row>
    <row r="80" spans="1:2" ht="16">
      <c r="A80" s="93" t="s">
        <v>2279</v>
      </c>
      <c r="B80" s="94" t="s">
        <v>2351</v>
      </c>
    </row>
    <row r="81" spans="1:2" ht="16">
      <c r="A81" s="93" t="s">
        <v>1001</v>
      </c>
      <c r="B81" s="94" t="s">
        <v>1278</v>
      </c>
    </row>
    <row r="82" spans="1:2" ht="16">
      <c r="A82" s="93" t="s">
        <v>2358</v>
      </c>
      <c r="B82" s="94" t="s">
        <v>2351</v>
      </c>
    </row>
    <row r="83" spans="1:2" ht="16">
      <c r="A83" s="93" t="s">
        <v>1416</v>
      </c>
      <c r="B83" s="94" t="s">
        <v>2351</v>
      </c>
    </row>
    <row r="84" spans="1:2" ht="16">
      <c r="A84" s="93" t="s">
        <v>1257</v>
      </c>
      <c r="B84" s="94" t="s">
        <v>2351</v>
      </c>
    </row>
    <row r="85" spans="1:2" ht="16">
      <c r="A85" s="93" t="s">
        <v>1258</v>
      </c>
      <c r="B85" s="94" t="s">
        <v>1278</v>
      </c>
    </row>
    <row r="86" spans="1:2" ht="16">
      <c r="A86" s="93" t="s">
        <v>1259</v>
      </c>
      <c r="B86" s="94" t="s">
        <v>2059</v>
      </c>
    </row>
    <row r="87" spans="1:2" ht="16">
      <c r="A87" s="93" t="s">
        <v>1260</v>
      </c>
      <c r="B87" s="94" t="s">
        <v>1956</v>
      </c>
    </row>
    <row r="88" spans="1:2" ht="16">
      <c r="A88" s="93" t="s">
        <v>1450</v>
      </c>
      <c r="B88" s="94" t="s">
        <v>2059</v>
      </c>
    </row>
    <row r="89" spans="1:2" ht="16">
      <c r="A89" s="93" t="s">
        <v>1224</v>
      </c>
      <c r="B89" s="94" t="s">
        <v>2351</v>
      </c>
    </row>
    <row r="90" spans="1:2" ht="16">
      <c r="A90" s="93" t="s">
        <v>1308</v>
      </c>
      <c r="B90" s="94" t="s">
        <v>2351</v>
      </c>
    </row>
    <row r="91" spans="1:2" ht="16">
      <c r="A91" s="93" t="s">
        <v>1185</v>
      </c>
      <c r="B91" s="94" t="s">
        <v>2350</v>
      </c>
    </row>
    <row r="92" spans="1:2" ht="16">
      <c r="A92" s="93" t="s">
        <v>1488</v>
      </c>
      <c r="B92" s="94" t="s">
        <v>1955</v>
      </c>
    </row>
    <row r="93" spans="1:2" ht="16">
      <c r="A93" s="93" t="s">
        <v>1110</v>
      </c>
      <c r="B93" s="94" t="s">
        <v>2351</v>
      </c>
    </row>
    <row r="94" spans="1:2" ht="16">
      <c r="A94" s="93" t="s">
        <v>1760</v>
      </c>
      <c r="B94" s="94" t="s">
        <v>2351</v>
      </c>
    </row>
  </sheetData>
  <sheetCalcPr fullCalcOnLoad="1"/>
  <sortState ref="A2:B94">
    <sortCondition ref="A3:A94"/>
  </sortState>
  <phoneticPr fontId="0"/>
  <pageMargins left="0.75" right="0.75" top="1" bottom="1" header="0.5" footer="0.5"/>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O20"/>
  <sheetViews>
    <sheetView workbookViewId="0">
      <selection activeCell="A8" sqref="A8"/>
    </sheetView>
  </sheetViews>
  <sheetFormatPr baseColWidth="10" defaultColWidth="11" defaultRowHeight="13"/>
  <cols>
    <col min="1" max="1" width="29.5" customWidth="1"/>
    <col min="5" max="5" width="10.83203125" style="90" customWidth="1"/>
  </cols>
  <sheetData>
    <row r="1" spans="1:15">
      <c r="A1" s="88" t="s">
        <v>2103</v>
      </c>
      <c r="B1" s="88" t="s">
        <v>1261</v>
      </c>
      <c r="C1" s="88" t="s">
        <v>1578</v>
      </c>
      <c r="D1" s="97" t="s">
        <v>1518</v>
      </c>
      <c r="E1" s="5" t="s">
        <v>1230</v>
      </c>
      <c r="G1" s="88" t="s">
        <v>2103</v>
      </c>
      <c r="H1" s="88" t="s">
        <v>1261</v>
      </c>
      <c r="I1" s="88" t="s">
        <v>1578</v>
      </c>
      <c r="J1" s="97" t="s">
        <v>1518</v>
      </c>
      <c r="K1" s="5"/>
      <c r="L1" s="88" t="s">
        <v>2105</v>
      </c>
      <c r="N1" s="5" t="s">
        <v>2105</v>
      </c>
    </row>
    <row r="2" spans="1:15">
      <c r="A2" s="89" t="s">
        <v>1810</v>
      </c>
      <c r="B2" s="98">
        <f>IF((H2+L2)&lt;0,0,(H2+L2))</f>
        <v>14</v>
      </c>
      <c r="C2" s="98">
        <f>IF((I2+L2)&lt;0,0,(I2+L2))</f>
        <v>8</v>
      </c>
      <c r="D2" s="98">
        <f>IF((J2+L2)&lt;0,0,(J2+L2))</f>
        <v>11</v>
      </c>
      <c r="E2" s="6">
        <v>2</v>
      </c>
      <c r="G2" s="89" t="s">
        <v>1810</v>
      </c>
      <c r="H2" s="141">
        <v>12</v>
      </c>
      <c r="I2" s="141">
        <v>6</v>
      </c>
      <c r="J2" s="139">
        <v>9</v>
      </c>
      <c r="K2" s="6"/>
      <c r="L2" s="146">
        <f>IF(CritterSheet!$K$1&gt;=0,CritterSheet!$K$1,IF(CritterSheet!$K$1&gt;=-2,0,IF(CritterSheet!$K$1&lt;=-3,LOOKUP(CritterSheet!$K$1,$N$2:$N$12,$O$2:$O$12))))</f>
        <v>2</v>
      </c>
      <c r="N2">
        <v>-12</v>
      </c>
      <c r="O2">
        <v>-5</v>
      </c>
    </row>
    <row r="3" spans="1:15">
      <c r="A3" s="7" t="s">
        <v>1511</v>
      </c>
      <c r="B3" s="98">
        <f t="shared" ref="B3:B13" si="0">IF((H3+L3)&lt;0,0,(H3+L3))</f>
        <v>5</v>
      </c>
      <c r="C3" s="98">
        <f t="shared" ref="C3:C13" si="1">IF((I3+L3)&lt;0,0,(I3+L3))</f>
        <v>5</v>
      </c>
      <c r="D3" s="98">
        <f t="shared" ref="D3:D13" si="2">IF((J3+L3)&lt;0,0,(J3+L3))</f>
        <v>5</v>
      </c>
      <c r="E3" s="138">
        <v>0</v>
      </c>
      <c r="G3" s="7" t="s">
        <v>1511</v>
      </c>
      <c r="H3" s="6">
        <v>3</v>
      </c>
      <c r="I3" s="6">
        <v>3</v>
      </c>
      <c r="J3" s="98">
        <f t="shared" ref="J3:J10" si="3">(H3+I3)/2</f>
        <v>3</v>
      </c>
      <c r="K3" s="138"/>
      <c r="L3" s="146">
        <f>IF(CritterSheet!$K$1&gt;=0,CritterSheet!$K$1,IF(CritterSheet!$K$1&gt;=-2,0,IF(CritterSheet!$K$1&lt;=-3,LOOKUP(CritterSheet!$K$1,$N$2:$N$12,$O$2:$O$12))))</f>
        <v>2</v>
      </c>
      <c r="N3">
        <v>-11</v>
      </c>
      <c r="O3">
        <v>-5</v>
      </c>
    </row>
    <row r="4" spans="1:15">
      <c r="A4" s="7" t="s">
        <v>2437</v>
      </c>
      <c r="B4" s="98">
        <f t="shared" ref="B4" si="4">IF((H4+L4)&lt;0,0,(H4+L4))</f>
        <v>3</v>
      </c>
      <c r="C4" s="98">
        <f t="shared" ref="C4" si="5">IF((I4+L4)&lt;0,0,(I4+L4))</f>
        <v>3</v>
      </c>
      <c r="D4" s="98">
        <f t="shared" ref="D4" si="6">IF((J4+L4)&lt;0,0,(J4+L4))</f>
        <v>3</v>
      </c>
      <c r="E4" s="138">
        <v>0</v>
      </c>
      <c r="G4" s="7" t="s">
        <v>2436</v>
      </c>
      <c r="H4" s="6">
        <v>1</v>
      </c>
      <c r="I4" s="6">
        <v>1</v>
      </c>
      <c r="J4" s="98">
        <v>1</v>
      </c>
      <c r="K4" s="138"/>
      <c r="L4" s="276">
        <f>IF(CritterSheet!$K$1&gt;=0,CritterSheet!$K$1,IF(CritterSheet!$K$1&gt;=-2,0,IF(CritterSheet!$K$1&lt;=-3,LOOKUP(CritterSheet!$K$1,$N$2:$N$12,$O$2:$O$12))))</f>
        <v>2</v>
      </c>
      <c r="N4">
        <v>-11</v>
      </c>
      <c r="O4">
        <v>-5</v>
      </c>
    </row>
    <row r="5" spans="1:15">
      <c r="A5" s="7" t="s">
        <v>1519</v>
      </c>
      <c r="B5" s="98">
        <f t="shared" si="0"/>
        <v>6</v>
      </c>
      <c r="C5" s="98">
        <f t="shared" si="1"/>
        <v>4</v>
      </c>
      <c r="D5" s="98">
        <f t="shared" si="2"/>
        <v>5</v>
      </c>
      <c r="E5" s="138">
        <v>0</v>
      </c>
      <c r="G5" s="7" t="s">
        <v>1519</v>
      </c>
      <c r="H5" s="138">
        <v>4</v>
      </c>
      <c r="I5" s="139">
        <f>H5*0.5</f>
        <v>2</v>
      </c>
      <c r="J5" s="140">
        <f t="shared" si="3"/>
        <v>3</v>
      </c>
      <c r="K5" s="138"/>
      <c r="L5" s="146">
        <f>IF(CritterSheet!$K$1&gt;=0,CritterSheet!$K$1,IF(CritterSheet!$K$1&gt;=-2,0,IF(CritterSheet!$K$1&lt;=-3,LOOKUP(CritterSheet!$K$1,$N$2:$N$12,$O$2:$O$12))))</f>
        <v>2</v>
      </c>
      <c r="N5">
        <v>-10</v>
      </c>
      <c r="O5">
        <v>-4</v>
      </c>
    </row>
    <row r="6" spans="1:15">
      <c r="A6" s="7" t="s">
        <v>1943</v>
      </c>
      <c r="B6" s="98">
        <f t="shared" si="0"/>
        <v>4</v>
      </c>
      <c r="C6" s="98">
        <f t="shared" si="1"/>
        <v>3</v>
      </c>
      <c r="D6" s="98">
        <f t="shared" si="2"/>
        <v>3.5</v>
      </c>
      <c r="E6" s="141">
        <v>0</v>
      </c>
      <c r="G6" s="7" t="s">
        <v>1943</v>
      </c>
      <c r="H6" s="141">
        <v>2</v>
      </c>
      <c r="I6" s="139">
        <f>H6*0.5</f>
        <v>1</v>
      </c>
      <c r="J6" s="140">
        <f t="shared" si="3"/>
        <v>1.5</v>
      </c>
      <c r="K6" s="141"/>
      <c r="L6" s="146">
        <f>IF(CritterSheet!$K$1&gt;=0,CritterSheet!$K$1,IF(CritterSheet!$K$1&gt;=-2,0,IF(CritterSheet!$K$1&lt;=-3,LOOKUP(CritterSheet!$K$1,$N$2:$N$12,$O$2:$O$12))))</f>
        <v>2</v>
      </c>
      <c r="N6">
        <v>-9</v>
      </c>
      <c r="O6">
        <v>-4</v>
      </c>
    </row>
    <row r="7" spans="1:15">
      <c r="A7" s="89" t="s">
        <v>1609</v>
      </c>
      <c r="B7" s="98">
        <f>IF((H7+L7)&lt;0,0,(H7+L7))</f>
        <v>5</v>
      </c>
      <c r="C7" s="98">
        <f>IF((I7+L7)&lt;0,0,(I7+L7))</f>
        <v>4</v>
      </c>
      <c r="D7" s="98">
        <f>IF((J7+L7)&lt;0,0,(J7+L7))</f>
        <v>4.5</v>
      </c>
      <c r="E7" s="141">
        <v>0</v>
      </c>
      <c r="G7" s="89" t="s">
        <v>1609</v>
      </c>
      <c r="H7" s="141">
        <v>3</v>
      </c>
      <c r="I7" s="141">
        <v>2</v>
      </c>
      <c r="J7" s="139">
        <f t="shared" si="3"/>
        <v>2.5</v>
      </c>
      <c r="K7" s="141"/>
      <c r="L7" s="146">
        <f>IF(CritterSheet!$K$1&gt;=0,CritterSheet!$K$1,IF(CritterSheet!$K$1&gt;=-2,0,IF(CritterSheet!$K$1&lt;=-3,LOOKUP(CritterSheet!$K$1,$N$2:$N$12,$O$2:$O$12))))</f>
        <v>2</v>
      </c>
      <c r="N7">
        <v>-8</v>
      </c>
      <c r="O7">
        <v>-3</v>
      </c>
    </row>
    <row r="8" spans="1:15">
      <c r="A8" s="7" t="s">
        <v>1944</v>
      </c>
      <c r="B8" s="98">
        <f t="shared" si="0"/>
        <v>9</v>
      </c>
      <c r="C8" s="98">
        <f t="shared" si="1"/>
        <v>5.5</v>
      </c>
      <c r="D8" s="98">
        <f t="shared" si="2"/>
        <v>7.25</v>
      </c>
      <c r="E8" s="138">
        <v>0</v>
      </c>
      <c r="G8" s="7" t="s">
        <v>1944</v>
      </c>
      <c r="H8" s="138">
        <v>7</v>
      </c>
      <c r="I8" s="139">
        <f>H8*0.5</f>
        <v>3.5</v>
      </c>
      <c r="J8" s="140">
        <f t="shared" si="3"/>
        <v>5.25</v>
      </c>
      <c r="K8" s="138"/>
      <c r="L8" s="146">
        <f>IF(CritterSheet!$K$1&gt;=0,CritterSheet!$K$1,IF(CritterSheet!$K$1&gt;=-2,0,IF(CritterSheet!$K$1&lt;=-3,LOOKUP(CritterSheet!$K$1,$N$2:$N$12,$O$2:$O$12))))</f>
        <v>2</v>
      </c>
      <c r="N8">
        <v>-7</v>
      </c>
      <c r="O8">
        <v>-3</v>
      </c>
    </row>
    <row r="9" spans="1:15">
      <c r="A9" s="7" t="s">
        <v>1714</v>
      </c>
      <c r="B9" s="98">
        <f t="shared" si="0"/>
        <v>12</v>
      </c>
      <c r="C9" s="98">
        <f t="shared" si="1"/>
        <v>7</v>
      </c>
      <c r="D9" s="98">
        <f t="shared" si="2"/>
        <v>9.5</v>
      </c>
      <c r="E9" s="141">
        <v>1</v>
      </c>
      <c r="G9" s="7" t="s">
        <v>1714</v>
      </c>
      <c r="H9" s="141">
        <v>10</v>
      </c>
      <c r="I9" s="139">
        <v>5</v>
      </c>
      <c r="J9" s="139">
        <f t="shared" si="3"/>
        <v>7.5</v>
      </c>
      <c r="K9" s="141"/>
      <c r="L9" s="146">
        <f>IF(CritterSheet!$K$1&gt;=0,CritterSheet!$K$1,IF(CritterSheet!$K$1&gt;=-2,0,IF(CritterSheet!$K$1&lt;=-3,LOOKUP(CritterSheet!$K$1,$N$2:$N$12,$O$2:$O$12))))</f>
        <v>2</v>
      </c>
      <c r="N9">
        <v>-6</v>
      </c>
      <c r="O9">
        <v>-2</v>
      </c>
    </row>
    <row r="10" spans="1:15">
      <c r="A10" s="7" t="s">
        <v>1489</v>
      </c>
      <c r="B10" s="98">
        <f t="shared" si="0"/>
        <v>7</v>
      </c>
      <c r="C10" s="98">
        <f t="shared" si="1"/>
        <v>4.5</v>
      </c>
      <c r="D10" s="98">
        <f t="shared" si="2"/>
        <v>5.75</v>
      </c>
      <c r="E10" s="138">
        <v>0</v>
      </c>
      <c r="G10" s="7" t="s">
        <v>1489</v>
      </c>
      <c r="H10" s="138">
        <v>5</v>
      </c>
      <c r="I10" s="139">
        <f>H10*0.5</f>
        <v>2.5</v>
      </c>
      <c r="J10" s="140">
        <f t="shared" si="3"/>
        <v>3.75</v>
      </c>
      <c r="K10" s="138"/>
      <c r="L10" s="146">
        <f>IF(CritterSheet!$K$1&gt;=0,CritterSheet!$K$1,IF(CritterSheet!$K$1&gt;=-2,0,IF(CritterSheet!$K$1&lt;=-3,LOOKUP(CritterSheet!$K$1,$N$2:$N$12,$O$2:$O$12))))</f>
        <v>2</v>
      </c>
      <c r="N10">
        <v>-5</v>
      </c>
      <c r="O10">
        <v>-2</v>
      </c>
    </row>
    <row r="11" spans="1:15">
      <c r="A11" s="7" t="s">
        <v>1512</v>
      </c>
      <c r="B11" s="98">
        <f>IF((H11+L11)&lt;0,0,(H11+L11))</f>
        <v>13</v>
      </c>
      <c r="C11" s="98">
        <f>IF((I11+L11)&lt;0,0,(I11+L11))</f>
        <v>7</v>
      </c>
      <c r="D11" s="98">
        <f>IF((J11+L11)&lt;0,0,(J11+L11))</f>
        <v>11</v>
      </c>
      <c r="E11" s="138">
        <v>0</v>
      </c>
      <c r="G11" s="7" t="s">
        <v>1512</v>
      </c>
      <c r="H11" s="141">
        <v>11</v>
      </c>
      <c r="I11" s="141">
        <v>5</v>
      </c>
      <c r="J11" s="139">
        <v>9</v>
      </c>
      <c r="K11" s="138"/>
      <c r="L11" s="146">
        <f>IF(CritterSheet!$K$1&gt;=0,CritterSheet!$K$1,IF(CritterSheet!$K$1&gt;=-2,0,IF(CritterSheet!$K$1&lt;=-3,LOOKUP(CritterSheet!$K$1,$N$2:$N$12,$O$2:$O$12))))</f>
        <v>2</v>
      </c>
      <c r="N11">
        <v>-4</v>
      </c>
      <c r="O11">
        <v>-1</v>
      </c>
    </row>
    <row r="12" spans="1:15">
      <c r="A12" s="7" t="s">
        <v>1510</v>
      </c>
      <c r="B12" s="98">
        <f t="shared" si="0"/>
        <v>2</v>
      </c>
      <c r="C12" s="98">
        <f t="shared" si="1"/>
        <v>2</v>
      </c>
      <c r="D12" s="98">
        <f t="shared" si="2"/>
        <v>2</v>
      </c>
      <c r="E12" s="141">
        <v>0</v>
      </c>
      <c r="G12" s="7" t="s">
        <v>1510</v>
      </c>
      <c r="H12" s="141">
        <v>0</v>
      </c>
      <c r="I12" s="141">
        <v>0</v>
      </c>
      <c r="J12" s="139">
        <v>0</v>
      </c>
      <c r="K12" s="141"/>
      <c r="L12" s="146">
        <f>IF(CritterSheet!$K$1&gt;=0,CritterSheet!$K$1,IF(CritterSheet!$K$1&gt;=-2,0,IF(CritterSheet!$K$1&lt;=-3,LOOKUP(CritterSheet!$K$1,$N$2:$N$12,$O$2:$O$12))))</f>
        <v>2</v>
      </c>
      <c r="N12">
        <v>-3</v>
      </c>
      <c r="O12">
        <v>-1</v>
      </c>
    </row>
    <row r="13" spans="1:15">
      <c r="A13" s="7" t="s">
        <v>1811</v>
      </c>
      <c r="B13" s="98">
        <f t="shared" si="0"/>
        <v>27</v>
      </c>
      <c r="C13" s="98">
        <f t="shared" si="1"/>
        <v>27</v>
      </c>
      <c r="D13" s="98">
        <f t="shared" si="2"/>
        <v>27</v>
      </c>
      <c r="E13" s="141">
        <v>0</v>
      </c>
      <c r="G13" s="7" t="s">
        <v>1811</v>
      </c>
      <c r="H13" s="138">
        <v>25</v>
      </c>
      <c r="I13" s="139">
        <v>25</v>
      </c>
      <c r="J13" s="140">
        <v>25</v>
      </c>
      <c r="K13" s="141"/>
      <c r="L13" s="146">
        <f>IF(CritterSheet!$K$1&gt;=0,CritterSheet!$K$1,IF(CritterSheet!$K$1&gt;=-2,0,IF(CritterSheet!$K$1&lt;=-3,LOOKUP(CritterSheet!$K$1,$N$2:$N$12,$O$2:$O$12))))</f>
        <v>2</v>
      </c>
    </row>
    <row r="14" spans="1:15">
      <c r="A14" s="7"/>
      <c r="B14" s="141"/>
      <c r="C14" s="141"/>
      <c r="D14" s="141"/>
      <c r="E14" s="141"/>
    </row>
    <row r="15" spans="1:15">
      <c r="A15" s="7"/>
      <c r="B15" s="6"/>
      <c r="C15" s="6"/>
      <c r="D15" s="6"/>
      <c r="E15" s="6"/>
    </row>
    <row r="19" spans="1:4">
      <c r="A19" s="87"/>
      <c r="B19" s="86"/>
      <c r="C19" s="86"/>
      <c r="D19" s="86"/>
    </row>
    <row r="20" spans="1:4">
      <c r="A20" s="87"/>
      <c r="B20" s="86"/>
      <c r="C20" s="86"/>
      <c r="D20" s="86"/>
    </row>
  </sheetData>
  <sheetCalcPr fullCalcOnLoad="1"/>
  <phoneticPr fontId="0"/>
  <pageMargins left="0.75" right="0.75" top="1" bottom="1" header="0.5" footer="0.5"/>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L48"/>
  <sheetViews>
    <sheetView workbookViewId="0">
      <selection activeCell="A9" sqref="A9"/>
    </sheetView>
  </sheetViews>
  <sheetFormatPr baseColWidth="10" defaultColWidth="11" defaultRowHeight="13"/>
  <cols>
    <col min="1" max="1" width="18.6640625" customWidth="1"/>
    <col min="3" max="3" width="11" style="146"/>
    <col min="6" max="7" width="11" style="90"/>
  </cols>
  <sheetData>
    <row r="1" spans="1:12">
      <c r="A1" s="88" t="s">
        <v>1111</v>
      </c>
      <c r="B1" s="5" t="s">
        <v>2262</v>
      </c>
      <c r="C1" s="170" t="s">
        <v>1208</v>
      </c>
      <c r="E1" s="88" t="s">
        <v>1111</v>
      </c>
      <c r="F1" s="5" t="s">
        <v>1498</v>
      </c>
      <c r="G1" s="5" t="s">
        <v>1231</v>
      </c>
      <c r="I1" s="5" t="s">
        <v>2105</v>
      </c>
      <c r="K1" s="5" t="s">
        <v>2105</v>
      </c>
    </row>
    <row r="2" spans="1:12">
      <c r="A2" t="s">
        <v>1225</v>
      </c>
      <c r="B2" s="99">
        <f>F2+I2</f>
        <v>5</v>
      </c>
      <c r="C2" s="99">
        <f>G2+I2</f>
        <v>4</v>
      </c>
      <c r="E2" t="s">
        <v>1225</v>
      </c>
      <c r="F2" s="90">
        <v>3</v>
      </c>
      <c r="G2" s="90">
        <v>2</v>
      </c>
      <c r="I2" s="146">
        <f>IF(CritterSheet!$K$1&gt;=0,CritterSheet!$K$1,IF(CritterSheet!$K$1&gt;=-2,0,IF(CritterSheet!$K$1&lt;=-3,LOOKUP(CritterSheet!$K$1,$K$2:$K$11,$L$2:$L$11))))</f>
        <v>2</v>
      </c>
      <c r="K2">
        <v>-12</v>
      </c>
      <c r="L2">
        <v>-5</v>
      </c>
    </row>
    <row r="3" spans="1:12">
      <c r="A3" t="s">
        <v>2139</v>
      </c>
      <c r="B3" s="99">
        <f t="shared" ref="B3:B26" si="0">F3+I3</f>
        <v>4</v>
      </c>
      <c r="C3" s="99">
        <f t="shared" ref="C3:C26" si="1">G3+I3</f>
        <v>4</v>
      </c>
      <c r="E3" t="s">
        <v>2139</v>
      </c>
      <c r="F3" s="90">
        <v>2</v>
      </c>
      <c r="G3" s="90">
        <v>2</v>
      </c>
      <c r="I3" s="146">
        <f>IF(CritterSheet!$K$1&gt;=0,CritterSheet!$K$1,IF(CritterSheet!$K$1&gt;=-2,0,IF(CritterSheet!$K$1&lt;=-3,LOOKUP(CritterSheet!$K$1,$K$2:$K$11,$L$2:$L$11))))</f>
        <v>2</v>
      </c>
      <c r="K3">
        <v>-11</v>
      </c>
      <c r="L3">
        <v>-5</v>
      </c>
    </row>
    <row r="4" spans="1:12">
      <c r="A4" t="s">
        <v>2136</v>
      </c>
      <c r="B4" s="99">
        <f t="shared" si="0"/>
        <v>5</v>
      </c>
      <c r="C4" s="99">
        <f t="shared" si="1"/>
        <v>4</v>
      </c>
      <c r="E4" t="s">
        <v>2136</v>
      </c>
      <c r="F4" s="90">
        <v>3</v>
      </c>
      <c r="G4" s="90">
        <v>2</v>
      </c>
      <c r="I4" s="146">
        <f>IF(CritterSheet!$K$1&gt;=0,CritterSheet!$K$1,IF(CritterSheet!$K$1&gt;=-2,0,IF(CritterSheet!$K$1&lt;=-3,LOOKUP(CritterSheet!$K$1,$K$2:$K$11,$L$2:$L$11))))</f>
        <v>2</v>
      </c>
      <c r="K4">
        <v>-10</v>
      </c>
      <c r="L4">
        <v>-4</v>
      </c>
    </row>
    <row r="5" spans="1:12">
      <c r="A5" t="s">
        <v>1514</v>
      </c>
      <c r="B5" s="99">
        <f t="shared" si="0"/>
        <v>4</v>
      </c>
      <c r="C5" s="99">
        <f t="shared" si="1"/>
        <v>2</v>
      </c>
      <c r="E5" t="s">
        <v>1514</v>
      </c>
      <c r="F5" s="90">
        <v>2</v>
      </c>
      <c r="G5" s="90">
        <v>0</v>
      </c>
      <c r="I5" s="146">
        <f>IF(CritterSheet!$K$1&gt;=0,CritterSheet!$K$1,IF(CritterSheet!$K$1&gt;=-2,0,IF(CritterSheet!$K$1&lt;=-3,LOOKUP(CritterSheet!$K$1,$K$2:$K$11,$L$2:$L$11))))</f>
        <v>2</v>
      </c>
      <c r="K5">
        <v>-9</v>
      </c>
      <c r="L5">
        <v>-4</v>
      </c>
    </row>
    <row r="6" spans="1:12">
      <c r="A6" t="s">
        <v>1980</v>
      </c>
      <c r="B6" s="99">
        <f>F6+I6</f>
        <v>4</v>
      </c>
      <c r="C6" s="99">
        <f t="shared" si="1"/>
        <v>2</v>
      </c>
      <c r="E6" t="s">
        <v>1980</v>
      </c>
      <c r="F6" s="90">
        <v>2</v>
      </c>
      <c r="G6" s="90">
        <v>0</v>
      </c>
      <c r="I6" s="146">
        <f>IF(CritterSheet!$K$1&gt;=0,CritterSheet!$K$1,IF(CritterSheet!$K$1&gt;=-2,0,IF(CritterSheet!$K$1&lt;=-3,LOOKUP(CritterSheet!$K$1,$K$2:$K$11,$L$2:$L$11))))</f>
        <v>2</v>
      </c>
      <c r="K6">
        <v>-8</v>
      </c>
      <c r="L6">
        <v>-3</v>
      </c>
    </row>
    <row r="7" spans="1:12">
      <c r="A7" t="s">
        <v>2278</v>
      </c>
      <c r="B7" s="99">
        <f t="shared" si="0"/>
        <v>5</v>
      </c>
      <c r="C7" s="99">
        <f t="shared" si="1"/>
        <v>4</v>
      </c>
      <c r="E7" t="s">
        <v>2278</v>
      </c>
      <c r="F7" s="90">
        <v>3</v>
      </c>
      <c r="G7" s="90">
        <v>2</v>
      </c>
      <c r="I7" s="146">
        <f>IF(CritterSheet!$K$1&gt;=0,CritterSheet!$K$1,IF(CritterSheet!$K$1&gt;=-2,0,IF(CritterSheet!$K$1&lt;=-3,LOOKUP(CritterSheet!$K$1,$K$2:$K$11,$L$2:$L$11))))</f>
        <v>2</v>
      </c>
      <c r="K7">
        <v>-7</v>
      </c>
      <c r="L7">
        <v>-3</v>
      </c>
    </row>
    <row r="8" spans="1:12">
      <c r="A8" t="s">
        <v>1226</v>
      </c>
      <c r="B8" s="99">
        <f t="shared" si="0"/>
        <v>6</v>
      </c>
      <c r="C8" s="99">
        <f t="shared" si="1"/>
        <v>2</v>
      </c>
      <c r="E8" t="s">
        <v>1226</v>
      </c>
      <c r="F8" s="90">
        <v>4</v>
      </c>
      <c r="G8" s="90">
        <v>0</v>
      </c>
      <c r="I8" s="146">
        <f>IF(CritterSheet!$K$1&gt;=0,CritterSheet!$K$1,IF(CritterSheet!$K$1&gt;=-2,0,IF(CritterSheet!$K$1&lt;=-3,LOOKUP(CritterSheet!$K$1,$K$2:$K$11,$L$2:$L$11))))</f>
        <v>2</v>
      </c>
      <c r="K8">
        <v>-6</v>
      </c>
      <c r="L8">
        <v>-2</v>
      </c>
    </row>
    <row r="9" spans="1:12">
      <c r="A9" t="s">
        <v>1675</v>
      </c>
      <c r="B9" s="99">
        <f t="shared" si="0"/>
        <v>4</v>
      </c>
      <c r="C9" s="99">
        <f t="shared" si="1"/>
        <v>2</v>
      </c>
      <c r="E9" t="s">
        <v>1675</v>
      </c>
      <c r="F9" s="90">
        <v>2</v>
      </c>
      <c r="G9" s="90">
        <v>0</v>
      </c>
      <c r="I9" s="146">
        <f>IF(CritterSheet!$K$1&gt;=0,CritterSheet!$K$1,IF(CritterSheet!$K$1&gt;=-2,0,IF(CritterSheet!$K$1&lt;=-3,LOOKUP(CritterSheet!$K$1,$K$2:$K$11,$L$2:$L$11))))</f>
        <v>2</v>
      </c>
      <c r="K9">
        <v>-5</v>
      </c>
      <c r="L9">
        <v>-2</v>
      </c>
    </row>
    <row r="10" spans="1:12">
      <c r="A10" t="s">
        <v>2342</v>
      </c>
      <c r="B10" s="99">
        <f>F10+I10</f>
        <v>3</v>
      </c>
      <c r="C10" s="99">
        <f t="shared" si="1"/>
        <v>2</v>
      </c>
      <c r="E10" t="s">
        <v>2342</v>
      </c>
      <c r="F10" s="90">
        <v>1</v>
      </c>
      <c r="G10" s="90">
        <v>0</v>
      </c>
      <c r="I10" s="146">
        <f>IF(CritterSheet!$K$1&gt;=0,CritterSheet!$K$1,IF(CritterSheet!$K$1&gt;=-2,0,IF(CritterSheet!$K$1&lt;=-3,LOOKUP(CritterSheet!$K$1,$K$2:$K$11,$L$2:$L$11))))</f>
        <v>2</v>
      </c>
      <c r="K10">
        <v>-4</v>
      </c>
      <c r="L10">
        <v>-1</v>
      </c>
    </row>
    <row r="11" spans="1:12">
      <c r="A11" t="s">
        <v>1608</v>
      </c>
      <c r="B11" s="99">
        <f t="shared" si="0"/>
        <v>5</v>
      </c>
      <c r="C11" s="99">
        <f t="shared" si="1"/>
        <v>2</v>
      </c>
      <c r="E11" t="s">
        <v>1608</v>
      </c>
      <c r="F11" s="90">
        <v>3</v>
      </c>
      <c r="G11" s="90">
        <v>0</v>
      </c>
      <c r="I11" s="146">
        <f>IF(CritterSheet!$K$1&gt;=0,CritterSheet!$K$1,IF(CritterSheet!$K$1&gt;=-2,0,IF(CritterSheet!$K$1&lt;=-3,LOOKUP(CritterSheet!$K$1,$K$2:$K$11,$L$2:$L$11))))</f>
        <v>2</v>
      </c>
      <c r="K11">
        <v>-3</v>
      </c>
      <c r="L11">
        <v>-1</v>
      </c>
    </row>
    <row r="12" spans="1:12">
      <c r="A12" t="s">
        <v>2280</v>
      </c>
      <c r="B12" s="99">
        <f t="shared" si="0"/>
        <v>6</v>
      </c>
      <c r="C12" s="99">
        <f t="shared" si="1"/>
        <v>4</v>
      </c>
      <c r="E12" t="s">
        <v>2280</v>
      </c>
      <c r="F12" s="90">
        <v>4</v>
      </c>
      <c r="G12" s="90">
        <v>2</v>
      </c>
      <c r="I12" s="146">
        <f>IF(CritterSheet!$K$1&gt;=0,CritterSheet!$K$1,IF(CritterSheet!$K$1&gt;=-2,0,IF(CritterSheet!$K$1&lt;=-3,LOOKUP(CritterSheet!$K$1,$K$2:$K$11,$L$2:$L$11))))</f>
        <v>2</v>
      </c>
    </row>
    <row r="13" spans="1:12">
      <c r="A13" t="s">
        <v>1019</v>
      </c>
      <c r="B13" s="99">
        <f>F13+I13</f>
        <v>4</v>
      </c>
      <c r="C13" s="99">
        <f t="shared" si="1"/>
        <v>3</v>
      </c>
      <c r="E13" t="s">
        <v>1019</v>
      </c>
      <c r="F13" s="90">
        <v>2</v>
      </c>
      <c r="G13" s="90">
        <v>1</v>
      </c>
      <c r="I13" s="146">
        <f>IF(CritterSheet!$K$1&gt;=0,CritterSheet!$K$1,IF(CritterSheet!$K$1&gt;=-2,0,IF(CritterSheet!$K$1&lt;=-3,LOOKUP(CritterSheet!$K$1,$K$2:$K$11,$L$2:$L$11))))</f>
        <v>2</v>
      </c>
    </row>
    <row r="14" spans="1:12">
      <c r="A14" t="s">
        <v>2137</v>
      </c>
      <c r="B14" s="99">
        <f t="shared" si="0"/>
        <v>4</v>
      </c>
      <c r="C14" s="99">
        <f t="shared" si="1"/>
        <v>3</v>
      </c>
      <c r="E14" t="s">
        <v>2137</v>
      </c>
      <c r="F14" s="90">
        <v>2</v>
      </c>
      <c r="G14" s="90">
        <v>1</v>
      </c>
      <c r="I14" s="146">
        <f>IF(CritterSheet!$K$1&gt;=0,CritterSheet!$K$1,IF(CritterSheet!$K$1&gt;=-2,0,IF(CritterSheet!$K$1&lt;=-3,LOOKUP(CritterSheet!$K$1,$K$2:$K$11,$L$2:$L$11))))</f>
        <v>2</v>
      </c>
    </row>
    <row r="15" spans="1:12">
      <c r="A15" t="s">
        <v>1516</v>
      </c>
      <c r="B15" s="99">
        <f>F15+I15</f>
        <v>5</v>
      </c>
      <c r="C15" s="99">
        <f t="shared" si="1"/>
        <v>4</v>
      </c>
      <c r="E15" t="s">
        <v>1516</v>
      </c>
      <c r="F15" s="90">
        <v>3</v>
      </c>
      <c r="G15" s="90">
        <v>2</v>
      </c>
      <c r="I15" s="146">
        <f>IF(CritterSheet!$K$1&gt;=0,CritterSheet!$K$1,IF(CritterSheet!$K$1&gt;=-2,0,IF(CritterSheet!$K$1&lt;=-3,LOOKUP(CritterSheet!$K$1,$K$2:$K$11,$L$2:$L$11))))</f>
        <v>2</v>
      </c>
    </row>
    <row r="16" spans="1:12">
      <c r="A16" t="s">
        <v>2140</v>
      </c>
      <c r="B16" s="99">
        <f t="shared" si="0"/>
        <v>4</v>
      </c>
      <c r="C16" s="99">
        <f t="shared" si="1"/>
        <v>2</v>
      </c>
      <c r="E16" t="s">
        <v>2140</v>
      </c>
      <c r="F16" s="90">
        <v>2</v>
      </c>
      <c r="G16" s="90">
        <v>0</v>
      </c>
      <c r="I16" s="146">
        <f>IF(CritterSheet!$K$1&gt;=0,CritterSheet!$K$1,IF(CritterSheet!$K$1&gt;=-2,0,IF(CritterSheet!$K$1&lt;=-3,LOOKUP(CritterSheet!$K$1,$K$2:$K$11,$L$2:$L$11))))</f>
        <v>2</v>
      </c>
    </row>
    <row r="17" spans="1:9">
      <c r="A17" t="s">
        <v>1497</v>
      </c>
      <c r="B17" s="99">
        <f t="shared" si="0"/>
        <v>5</v>
      </c>
      <c r="C17" s="99">
        <f t="shared" si="1"/>
        <v>2</v>
      </c>
      <c r="E17" t="s">
        <v>1497</v>
      </c>
      <c r="F17" s="90">
        <v>3</v>
      </c>
      <c r="G17" s="90">
        <v>0</v>
      </c>
      <c r="I17" s="146">
        <f>IF(CritterSheet!$K$1&gt;=0,CritterSheet!$K$1,IF(CritterSheet!$K$1&gt;=-2,0,IF(CritterSheet!$K$1&lt;=-3,LOOKUP(CritterSheet!$K$1,$K$2:$K$11,$L$2:$L$11))))</f>
        <v>2</v>
      </c>
    </row>
    <row r="18" spans="1:9">
      <c r="A18" t="s">
        <v>2361</v>
      </c>
      <c r="B18" s="99">
        <f>F18+I18</f>
        <v>6</v>
      </c>
      <c r="C18" s="99">
        <f t="shared" si="1"/>
        <v>4</v>
      </c>
      <c r="E18" t="s">
        <v>2361</v>
      </c>
      <c r="F18" s="90">
        <v>4</v>
      </c>
      <c r="G18" s="90">
        <v>2</v>
      </c>
      <c r="I18" s="146">
        <f>IF(CritterSheet!$K$1&gt;=0,CritterSheet!$K$1,IF(CritterSheet!$K$1&gt;=-2,0,IF(CritterSheet!$K$1&lt;=-3,LOOKUP(CritterSheet!$K$1,$K$2:$K$11,$L$2:$L$11))))</f>
        <v>2</v>
      </c>
    </row>
    <row r="19" spans="1:9">
      <c r="A19" t="s">
        <v>2483</v>
      </c>
      <c r="B19" s="242">
        <f t="shared" ref="B19:B20" si="2">F19+I19</f>
        <v>5</v>
      </c>
      <c r="C19" s="242">
        <f t="shared" ref="C19:C20" si="3">G19+I19</f>
        <v>2</v>
      </c>
      <c r="E19" t="s">
        <v>2483</v>
      </c>
      <c r="F19" s="90">
        <v>3</v>
      </c>
      <c r="G19" s="90">
        <v>0</v>
      </c>
      <c r="I19" s="276">
        <f>IF(CritterSheet!$K$1&gt;=0,CritterSheet!$K$1,IF(CritterSheet!$K$1&gt;=-2,0,IF(CritterSheet!$K$1&lt;=-3,LOOKUP(CritterSheet!$K$1,$K$2:$K$11,$L$2:$L$11))))</f>
        <v>2</v>
      </c>
    </row>
    <row r="20" spans="1:9">
      <c r="A20" t="s">
        <v>2138</v>
      </c>
      <c r="B20" s="242">
        <f t="shared" si="2"/>
        <v>5</v>
      </c>
      <c r="C20" s="242">
        <f t="shared" si="3"/>
        <v>4</v>
      </c>
      <c r="E20" t="s">
        <v>2138</v>
      </c>
      <c r="F20" s="90">
        <v>3</v>
      </c>
      <c r="G20" s="90">
        <v>2</v>
      </c>
      <c r="I20" s="276">
        <f>IF(CritterSheet!$K$1&gt;=0,CritterSheet!$K$1,IF(CritterSheet!$K$1&gt;=-2,0,IF(CritterSheet!$K$1&lt;=-3,LOOKUP(CritterSheet!$K$1,$K$2:$K$11,$L$2:$L$11))))</f>
        <v>2</v>
      </c>
    </row>
    <row r="21" spans="1:9">
      <c r="A21" t="s">
        <v>1496</v>
      </c>
      <c r="B21" s="99">
        <f t="shared" si="0"/>
        <v>5</v>
      </c>
      <c r="C21" s="99">
        <f t="shared" si="1"/>
        <v>2</v>
      </c>
      <c r="E21" t="s">
        <v>1496</v>
      </c>
      <c r="F21" s="90">
        <v>3</v>
      </c>
      <c r="G21" s="90">
        <v>0</v>
      </c>
      <c r="I21" s="146">
        <f>IF(CritterSheet!$K$1&gt;=0,CritterSheet!$K$1,IF(CritterSheet!$K$1&gt;=-2,0,IF(CritterSheet!$K$1&lt;=-3,LOOKUP(CritterSheet!$K$1,$K$2:$K$11,$L$2:$L$11))))</f>
        <v>2</v>
      </c>
    </row>
    <row r="22" spans="1:9">
      <c r="A22" t="s">
        <v>1515</v>
      </c>
      <c r="B22" s="99">
        <f>F22+I22</f>
        <v>6</v>
      </c>
      <c r="C22" s="99">
        <f t="shared" si="1"/>
        <v>2</v>
      </c>
      <c r="E22" t="s">
        <v>1515</v>
      </c>
      <c r="F22" s="90">
        <v>4</v>
      </c>
      <c r="G22" s="90">
        <v>0</v>
      </c>
      <c r="I22" s="146">
        <f>IF(CritterSheet!$K$1&gt;=0,CritterSheet!$K$1,IF(CritterSheet!$K$1&gt;=-2,0,IF(CritterSheet!$K$1&lt;=-3,LOOKUP(CritterSheet!$K$1,$K$2:$K$11,$L$2:$L$11))))</f>
        <v>2</v>
      </c>
    </row>
    <row r="23" spans="1:9">
      <c r="A23" t="s">
        <v>2279</v>
      </c>
      <c r="B23" s="99">
        <f t="shared" si="0"/>
        <v>5</v>
      </c>
      <c r="C23" s="99">
        <f t="shared" si="1"/>
        <v>5</v>
      </c>
      <c r="E23" t="s">
        <v>2279</v>
      </c>
      <c r="F23" s="90">
        <v>3</v>
      </c>
      <c r="G23" s="90">
        <v>3</v>
      </c>
      <c r="I23" s="146">
        <f>IF(CritterSheet!$K$1&gt;=0,CritterSheet!$K$1,IF(CritterSheet!$K$1&gt;=-2,0,IF(CritterSheet!$K$1&lt;=-3,LOOKUP(CritterSheet!$K$1,$K$2:$K$11,$L$2:$L$11))))</f>
        <v>2</v>
      </c>
    </row>
    <row r="24" spans="1:9">
      <c r="A24" t="s">
        <v>2358</v>
      </c>
      <c r="B24" s="99">
        <f>F24+I24</f>
        <v>7</v>
      </c>
      <c r="C24" s="99">
        <f t="shared" si="1"/>
        <v>6</v>
      </c>
      <c r="E24" t="s">
        <v>2358</v>
      </c>
      <c r="F24" s="90">
        <v>5</v>
      </c>
      <c r="G24" s="90">
        <v>4</v>
      </c>
      <c r="I24" s="146">
        <f>IF(CritterSheet!$K$1&gt;=0,CritterSheet!$K$1,IF(CritterSheet!$K$1&gt;=-2,0,IF(CritterSheet!$K$1&lt;=-3,LOOKUP(CritterSheet!$K$1,$K$2:$K$11,$L$2:$L$11))))</f>
        <v>2</v>
      </c>
    </row>
    <row r="25" spans="1:9">
      <c r="A25" t="s">
        <v>1260</v>
      </c>
      <c r="B25" s="99">
        <f>F25+I25</f>
        <v>3</v>
      </c>
      <c r="C25" s="99">
        <f t="shared" si="1"/>
        <v>2</v>
      </c>
      <c r="E25" t="s">
        <v>1260</v>
      </c>
      <c r="F25" s="90">
        <v>1</v>
      </c>
      <c r="G25" s="90">
        <v>0</v>
      </c>
      <c r="I25" s="146">
        <f>IF(CritterSheet!$K$1&gt;=0,CritterSheet!$K$1,IF(CritterSheet!$K$1&gt;=-2,0,IF(CritterSheet!$K$1&lt;=-3,LOOKUP(CritterSheet!$K$1,$K$2:$K$11,$L$2:$L$11))))</f>
        <v>2</v>
      </c>
    </row>
    <row r="26" spans="1:9">
      <c r="A26" t="s">
        <v>1224</v>
      </c>
      <c r="B26" s="99">
        <f t="shared" si="0"/>
        <v>5</v>
      </c>
      <c r="C26" s="99">
        <f t="shared" si="1"/>
        <v>3</v>
      </c>
      <c r="E26" t="s">
        <v>1224</v>
      </c>
      <c r="F26" s="90">
        <v>3</v>
      </c>
      <c r="G26" s="90">
        <v>1</v>
      </c>
      <c r="I26" s="146">
        <f>IF(CritterSheet!$K$1&gt;=0,CritterSheet!$K$1,IF(CritterSheet!$K$1&gt;=-2,0,IF(CritterSheet!$K$1&lt;=-3,LOOKUP(CritterSheet!$K$1,$K$2:$K$11,$L$2:$L$11))))</f>
        <v>2</v>
      </c>
    </row>
    <row r="30" spans="1:9">
      <c r="A30" t="s">
        <v>2105</v>
      </c>
      <c r="B30" s="90" t="s">
        <v>2217</v>
      </c>
      <c r="D30" s="134"/>
    </row>
    <row r="31" spans="1:9">
      <c r="A31" t="s">
        <v>1378</v>
      </c>
      <c r="B31" s="90">
        <v>12</v>
      </c>
      <c r="D31" s="134"/>
    </row>
    <row r="32" spans="1:9">
      <c r="A32" t="s">
        <v>1379</v>
      </c>
      <c r="B32" s="90">
        <v>11</v>
      </c>
      <c r="D32" s="134"/>
    </row>
    <row r="33" spans="1:4">
      <c r="A33" t="s">
        <v>1033</v>
      </c>
      <c r="B33" s="90">
        <v>10</v>
      </c>
      <c r="D33" s="134"/>
    </row>
    <row r="34" spans="1:4">
      <c r="A34" t="s">
        <v>1380</v>
      </c>
      <c r="B34" s="90">
        <v>9</v>
      </c>
      <c r="D34" s="134"/>
    </row>
    <row r="35" spans="1:4">
      <c r="A35" t="s">
        <v>1535</v>
      </c>
      <c r="B35" s="90">
        <v>8</v>
      </c>
      <c r="D35" s="134"/>
    </row>
    <row r="36" spans="1:4">
      <c r="A36" t="s">
        <v>1780</v>
      </c>
      <c r="B36" s="90">
        <v>5</v>
      </c>
      <c r="D36" s="134"/>
    </row>
    <row r="37" spans="1:4">
      <c r="A37" t="s">
        <v>1533</v>
      </c>
      <c r="B37" s="90">
        <v>3</v>
      </c>
    </row>
    <row r="38" spans="1:4">
      <c r="A38" t="s">
        <v>2129</v>
      </c>
      <c r="B38" s="90">
        <v>1</v>
      </c>
    </row>
    <row r="39" spans="1:4">
      <c r="A39" t="s">
        <v>1282</v>
      </c>
      <c r="B39" s="90">
        <v>0</v>
      </c>
    </row>
    <row r="40" spans="1:4">
      <c r="A40" t="s">
        <v>1429</v>
      </c>
      <c r="B40" s="90">
        <v>-1</v>
      </c>
    </row>
    <row r="41" spans="1:4">
      <c r="A41" t="s">
        <v>1016</v>
      </c>
      <c r="B41" s="90">
        <v>-2</v>
      </c>
    </row>
    <row r="42" spans="1:4">
      <c r="A42" t="s">
        <v>1534</v>
      </c>
      <c r="B42" s="90">
        <v>-3</v>
      </c>
    </row>
    <row r="43" spans="1:4">
      <c r="A43" t="s">
        <v>1770</v>
      </c>
      <c r="B43" s="90">
        <v>-4</v>
      </c>
    </row>
    <row r="44" spans="1:4">
      <c r="A44" t="s">
        <v>1787</v>
      </c>
      <c r="B44" s="90">
        <v>-5</v>
      </c>
    </row>
    <row r="45" spans="1:4">
      <c r="A45" t="s">
        <v>1781</v>
      </c>
      <c r="B45" s="90">
        <v>-6</v>
      </c>
    </row>
    <row r="46" spans="1:4">
      <c r="A46" t="s">
        <v>1782</v>
      </c>
      <c r="B46" s="90">
        <v>-7</v>
      </c>
    </row>
    <row r="47" spans="1:4">
      <c r="A47" t="s">
        <v>1976</v>
      </c>
      <c r="B47" s="90">
        <v>-8</v>
      </c>
    </row>
    <row r="48" spans="1:4">
      <c r="A48" t="s">
        <v>1683</v>
      </c>
      <c r="B48" s="90">
        <v>-9</v>
      </c>
    </row>
  </sheetData>
  <sheetCalcPr fullCalcOnLoad="1"/>
  <phoneticPr fontId="0"/>
  <pageMargins left="0.75" right="0.75" top="1" bottom="1" header="0.5" footer="0.5"/>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J43"/>
  <sheetViews>
    <sheetView workbookViewId="0">
      <selection activeCell="A9" sqref="A9"/>
    </sheetView>
  </sheetViews>
  <sheetFormatPr baseColWidth="10" defaultColWidth="11" defaultRowHeight="13"/>
  <sheetData>
    <row r="1" spans="1:10">
      <c r="A1" s="88" t="s">
        <v>2218</v>
      </c>
      <c r="B1" s="5" t="s">
        <v>1371</v>
      </c>
      <c r="C1" s="5" t="s">
        <v>2262</v>
      </c>
      <c r="D1" s="88" t="s">
        <v>1281</v>
      </c>
      <c r="E1" s="5" t="s">
        <v>1263</v>
      </c>
      <c r="F1" s="5" t="s">
        <v>2101</v>
      </c>
      <c r="G1" s="5" t="s">
        <v>1385</v>
      </c>
      <c r="H1" s="5" t="s">
        <v>1386</v>
      </c>
      <c r="I1" s="5" t="s">
        <v>2308</v>
      </c>
    </row>
    <row r="2" spans="1:10">
      <c r="A2" t="s">
        <v>2269</v>
      </c>
      <c r="B2" s="90">
        <v>1</v>
      </c>
      <c r="C2" s="99">
        <v>4</v>
      </c>
      <c r="D2" s="90">
        <v>5</v>
      </c>
      <c r="E2" s="90" t="s">
        <v>2028</v>
      </c>
      <c r="F2" s="100" t="s">
        <v>2034</v>
      </c>
      <c r="G2" s="100" t="s">
        <v>1091</v>
      </c>
      <c r="H2" s="90" t="s">
        <v>1092</v>
      </c>
      <c r="I2" s="90" t="s">
        <v>835</v>
      </c>
    </row>
    <row r="3" spans="1:10">
      <c r="A3" t="s">
        <v>1538</v>
      </c>
      <c r="B3" s="90">
        <v>2</v>
      </c>
      <c r="C3" s="90">
        <v>4</v>
      </c>
      <c r="D3" s="99">
        <v>2</v>
      </c>
      <c r="E3" s="100" t="s">
        <v>2028</v>
      </c>
      <c r="F3" s="100" t="s">
        <v>2029</v>
      </c>
      <c r="G3" s="100" t="s">
        <v>1539</v>
      </c>
      <c r="H3" s="100" t="s">
        <v>1540</v>
      </c>
      <c r="I3" s="100" t="s">
        <v>1903</v>
      </c>
    </row>
    <row r="4" spans="1:10">
      <c r="A4" t="s">
        <v>907</v>
      </c>
      <c r="B4" s="90">
        <v>2</v>
      </c>
      <c r="C4" s="90">
        <v>8</v>
      </c>
      <c r="D4" s="99">
        <v>2</v>
      </c>
      <c r="E4" s="100" t="s">
        <v>2028</v>
      </c>
      <c r="F4" s="100" t="s">
        <v>2501</v>
      </c>
      <c r="G4" s="100" t="s">
        <v>2502</v>
      </c>
      <c r="H4" s="100" t="s">
        <v>2503</v>
      </c>
      <c r="I4" s="100" t="s">
        <v>2504</v>
      </c>
    </row>
    <row r="5" spans="1:10">
      <c r="A5" t="s">
        <v>1783</v>
      </c>
      <c r="B5" s="90">
        <v>1</v>
      </c>
      <c r="C5" s="99">
        <v>3</v>
      </c>
      <c r="D5" s="90">
        <v>15</v>
      </c>
      <c r="E5" s="90" t="s">
        <v>1200</v>
      </c>
      <c r="F5" s="101" t="s">
        <v>1201</v>
      </c>
      <c r="G5" s="100" t="s">
        <v>2034</v>
      </c>
      <c r="H5" s="100" t="s">
        <v>1091</v>
      </c>
      <c r="I5" s="90" t="s">
        <v>1092</v>
      </c>
    </row>
    <row r="6" spans="1:10">
      <c r="A6" t="s">
        <v>1536</v>
      </c>
      <c r="B6" s="90">
        <v>2</v>
      </c>
      <c r="C6" s="90">
        <v>3</v>
      </c>
      <c r="D6" s="99">
        <v>4</v>
      </c>
      <c r="E6" s="100" t="s">
        <v>2028</v>
      </c>
      <c r="F6" s="100" t="s">
        <v>2034</v>
      </c>
      <c r="G6" s="100" t="s">
        <v>1537</v>
      </c>
      <c r="H6" s="100" t="s">
        <v>1490</v>
      </c>
      <c r="I6" s="100" t="s">
        <v>905</v>
      </c>
    </row>
    <row r="7" spans="1:10">
      <c r="A7" t="s">
        <v>1387</v>
      </c>
      <c r="B7" s="90">
        <v>2</v>
      </c>
      <c r="C7" s="90">
        <v>4</v>
      </c>
      <c r="D7" s="99">
        <v>4</v>
      </c>
      <c r="E7" s="100" t="s">
        <v>2028</v>
      </c>
      <c r="F7" s="100" t="s">
        <v>2029</v>
      </c>
      <c r="G7" s="100" t="s">
        <v>2336</v>
      </c>
      <c r="H7" s="100" t="s">
        <v>2337</v>
      </c>
      <c r="I7" s="100" t="s">
        <v>2338</v>
      </c>
    </row>
    <row r="8" spans="1:10">
      <c r="A8" t="s">
        <v>906</v>
      </c>
      <c r="B8" s="90">
        <v>2</v>
      </c>
      <c r="C8" s="90">
        <v>5</v>
      </c>
      <c r="D8" s="99">
        <v>3</v>
      </c>
      <c r="E8" s="100" t="s">
        <v>2028</v>
      </c>
      <c r="F8" s="100" t="s">
        <v>2029</v>
      </c>
      <c r="G8" s="100" t="s">
        <v>2336</v>
      </c>
      <c r="H8" s="100" t="s">
        <v>2337</v>
      </c>
      <c r="I8" s="100" t="s">
        <v>2338</v>
      </c>
    </row>
    <row r="9" spans="1:10">
      <c r="A9" t="s">
        <v>1855</v>
      </c>
      <c r="B9" s="90">
        <v>0</v>
      </c>
      <c r="C9" s="99">
        <v>5</v>
      </c>
      <c r="D9" s="99">
        <v>20</v>
      </c>
      <c r="E9" s="90" t="s">
        <v>2028</v>
      </c>
      <c r="F9" s="100" t="s">
        <v>2034</v>
      </c>
      <c r="G9" s="100" t="s">
        <v>1091</v>
      </c>
      <c r="H9" s="90" t="s">
        <v>1092</v>
      </c>
      <c r="I9" s="90" t="s">
        <v>835</v>
      </c>
    </row>
    <row r="10" spans="1:10">
      <c r="A10" t="s">
        <v>2360</v>
      </c>
      <c r="B10" s="90">
        <v>0</v>
      </c>
      <c r="C10" s="99">
        <v>5</v>
      </c>
      <c r="D10" s="90">
        <v>20</v>
      </c>
      <c r="E10" s="90" t="s">
        <v>1200</v>
      </c>
      <c r="F10" s="101" t="s">
        <v>1201</v>
      </c>
      <c r="G10" s="100" t="s">
        <v>2034</v>
      </c>
      <c r="H10" s="100" t="s">
        <v>1091</v>
      </c>
      <c r="I10" s="90" t="s">
        <v>1092</v>
      </c>
    </row>
    <row r="11" spans="1:10">
      <c r="A11" t="s">
        <v>2033</v>
      </c>
      <c r="B11" s="90">
        <v>2</v>
      </c>
      <c r="C11" s="90">
        <v>3</v>
      </c>
      <c r="D11" s="99">
        <v>8</v>
      </c>
      <c r="E11" s="100" t="s">
        <v>2028</v>
      </c>
      <c r="F11" s="100" t="s">
        <v>2034</v>
      </c>
      <c r="G11" s="100" t="s">
        <v>2035</v>
      </c>
      <c r="H11" s="100" t="s">
        <v>2036</v>
      </c>
      <c r="I11" s="100" t="s">
        <v>2037</v>
      </c>
      <c r="J11" s="90"/>
    </row>
    <row r="12" spans="1:10">
      <c r="A12" t="s">
        <v>1906</v>
      </c>
      <c r="B12" s="90">
        <v>1</v>
      </c>
      <c r="C12" s="99">
        <v>3</v>
      </c>
      <c r="D12" s="90">
        <v>20</v>
      </c>
      <c r="E12" s="90" t="s">
        <v>1200</v>
      </c>
      <c r="F12" s="101" t="s">
        <v>1201</v>
      </c>
      <c r="G12" s="100" t="s">
        <v>2034</v>
      </c>
      <c r="H12" s="100" t="s">
        <v>1091</v>
      </c>
      <c r="I12" s="90" t="s">
        <v>1092</v>
      </c>
      <c r="J12" s="90"/>
    </row>
    <row r="13" spans="1:10">
      <c r="A13" t="s">
        <v>1123</v>
      </c>
      <c r="B13" s="90">
        <v>1</v>
      </c>
      <c r="C13" s="90">
        <v>4</v>
      </c>
      <c r="D13" s="99">
        <v>20</v>
      </c>
      <c r="E13" s="100" t="s">
        <v>2028</v>
      </c>
      <c r="F13" s="100" t="s">
        <v>2034</v>
      </c>
      <c r="G13" s="100" t="s">
        <v>2505</v>
      </c>
      <c r="H13" s="100" t="s">
        <v>2266</v>
      </c>
      <c r="I13" s="100" t="s">
        <v>2299</v>
      </c>
      <c r="J13" s="90"/>
    </row>
    <row r="14" spans="1:10">
      <c r="A14" t="s">
        <v>1907</v>
      </c>
      <c r="B14" s="90">
        <v>1</v>
      </c>
      <c r="C14" s="99">
        <v>4</v>
      </c>
      <c r="D14" s="90">
        <v>0</v>
      </c>
      <c r="E14" s="100" t="s">
        <v>2028</v>
      </c>
      <c r="F14" s="100" t="s">
        <v>2034</v>
      </c>
      <c r="G14" s="100" t="s">
        <v>836</v>
      </c>
      <c r="H14" s="100" t="s">
        <v>837</v>
      </c>
      <c r="I14" s="100" t="s">
        <v>838</v>
      </c>
      <c r="J14" s="90"/>
    </row>
    <row r="15" spans="1:10">
      <c r="A15" t="s">
        <v>977</v>
      </c>
      <c r="B15" s="90">
        <v>0</v>
      </c>
      <c r="C15" s="90">
        <v>3</v>
      </c>
      <c r="D15" s="99">
        <v>8</v>
      </c>
      <c r="E15" s="100" t="s">
        <v>2028</v>
      </c>
      <c r="F15" s="100" t="s">
        <v>2034</v>
      </c>
      <c r="G15" s="100" t="s">
        <v>969</v>
      </c>
      <c r="H15" s="100" t="s">
        <v>978</v>
      </c>
      <c r="I15" s="100" t="s">
        <v>970</v>
      </c>
    </row>
    <row r="16" spans="1:10">
      <c r="A16" t="s">
        <v>1103</v>
      </c>
      <c r="B16" s="90">
        <v>1</v>
      </c>
      <c r="C16" s="99">
        <v>2</v>
      </c>
      <c r="D16" s="90">
        <v>20</v>
      </c>
      <c r="E16" s="90" t="s">
        <v>1200</v>
      </c>
      <c r="F16" s="101" t="s">
        <v>1201</v>
      </c>
      <c r="G16" s="100" t="s">
        <v>2034</v>
      </c>
      <c r="H16" s="100" t="s">
        <v>1091</v>
      </c>
      <c r="I16" s="90" t="s">
        <v>1092</v>
      </c>
    </row>
    <row r="17" spans="1:10">
      <c r="A17" t="s">
        <v>2300</v>
      </c>
      <c r="B17" s="90">
        <v>1</v>
      </c>
      <c r="C17" s="99">
        <v>3</v>
      </c>
      <c r="D17" s="90">
        <v>8</v>
      </c>
      <c r="E17" s="90" t="s">
        <v>1200</v>
      </c>
      <c r="F17" s="101" t="s">
        <v>1201</v>
      </c>
      <c r="G17" s="100" t="s">
        <v>2034</v>
      </c>
      <c r="H17" s="100" t="s">
        <v>1091</v>
      </c>
      <c r="I17" s="90" t="s">
        <v>1092</v>
      </c>
    </row>
    <row r="20" spans="1:10">
      <c r="A20" s="7"/>
      <c r="B20" s="6"/>
      <c r="C20" s="6"/>
      <c r="D20" s="7"/>
      <c r="E20" s="6"/>
      <c r="F20" s="6"/>
      <c r="G20" s="6"/>
      <c r="H20" s="6"/>
      <c r="I20" s="6"/>
      <c r="J20" s="5"/>
    </row>
    <row r="21" spans="1:10">
      <c r="A21" s="7"/>
      <c r="B21" s="6"/>
      <c r="C21" s="98"/>
      <c r="D21" s="6"/>
      <c r="E21" s="6"/>
      <c r="F21" s="241"/>
      <c r="G21" s="192"/>
      <c r="H21" s="192"/>
      <c r="I21" s="6"/>
      <c r="J21" s="90"/>
    </row>
    <row r="22" spans="1:10">
      <c r="A22" s="7"/>
      <c r="B22" s="6"/>
      <c r="C22" s="98"/>
      <c r="D22" s="6"/>
      <c r="E22" s="6"/>
      <c r="F22" s="192"/>
      <c r="G22" s="192"/>
      <c r="H22" s="6"/>
      <c r="I22" s="6"/>
      <c r="J22" s="90"/>
    </row>
    <row r="23" spans="1:10">
      <c r="A23" s="7"/>
      <c r="B23" s="6"/>
      <c r="C23" s="6"/>
      <c r="D23" s="98"/>
      <c r="E23" s="192"/>
      <c r="F23" s="192"/>
      <c r="G23" s="192"/>
      <c r="H23" s="192"/>
      <c r="I23" s="192"/>
      <c r="J23" s="90"/>
    </row>
    <row r="24" spans="1:10">
      <c r="A24" s="7"/>
      <c r="B24" s="6"/>
      <c r="C24" s="6"/>
      <c r="D24" s="98"/>
      <c r="E24" s="192"/>
      <c r="F24" s="192"/>
      <c r="G24" s="192"/>
      <c r="H24" s="192"/>
      <c r="I24" s="192"/>
      <c r="J24" s="90"/>
    </row>
    <row r="25" spans="1:10">
      <c r="A25" s="7"/>
      <c r="B25" s="6"/>
      <c r="C25" s="98"/>
      <c r="D25" s="6"/>
      <c r="E25" s="6"/>
      <c r="F25" s="241"/>
      <c r="G25" s="192"/>
      <c r="H25" s="192"/>
      <c r="I25" s="6"/>
      <c r="J25" s="90"/>
    </row>
    <row r="26" spans="1:10">
      <c r="A26" s="7"/>
      <c r="B26" s="6"/>
      <c r="C26" s="6"/>
      <c r="D26" s="98"/>
      <c r="E26" s="192"/>
      <c r="F26" s="192"/>
      <c r="G26" s="192"/>
      <c r="H26" s="192"/>
      <c r="I26" s="192"/>
      <c r="J26" s="90"/>
    </row>
    <row r="27" spans="1:10">
      <c r="A27" s="7"/>
      <c r="B27" s="6"/>
      <c r="C27" s="6"/>
      <c r="D27" s="98"/>
      <c r="E27" s="192"/>
      <c r="F27" s="192"/>
      <c r="G27" s="192"/>
      <c r="H27" s="192"/>
      <c r="I27" s="192"/>
      <c r="J27" s="90"/>
    </row>
    <row r="28" spans="1:10">
      <c r="A28" s="7"/>
      <c r="B28" s="6"/>
      <c r="C28" s="6"/>
      <c r="D28" s="98"/>
      <c r="E28" s="192"/>
      <c r="F28" s="192"/>
      <c r="G28" s="192"/>
      <c r="H28" s="192"/>
      <c r="I28" s="192"/>
      <c r="J28" s="90"/>
    </row>
    <row r="29" spans="1:10">
      <c r="A29" s="7"/>
      <c r="B29" s="6"/>
      <c r="C29" s="6"/>
      <c r="D29" s="98"/>
      <c r="E29" s="192"/>
      <c r="F29" s="192"/>
      <c r="G29" s="192"/>
      <c r="H29" s="192"/>
      <c r="I29" s="192"/>
      <c r="J29" s="90"/>
    </row>
    <row r="30" spans="1:10">
      <c r="A30" s="7"/>
      <c r="B30" s="6"/>
      <c r="C30" s="98"/>
      <c r="D30" s="6"/>
      <c r="E30" s="6"/>
      <c r="F30" s="241"/>
      <c r="G30" s="192"/>
      <c r="H30" s="192"/>
      <c r="I30" s="6"/>
      <c r="J30" s="90"/>
    </row>
    <row r="31" spans="1:10">
      <c r="A31" s="7"/>
      <c r="B31" s="6"/>
      <c r="C31" s="6"/>
      <c r="D31" s="98"/>
      <c r="E31" s="192"/>
      <c r="F31" s="192"/>
      <c r="G31" s="192"/>
      <c r="H31" s="192"/>
      <c r="I31" s="192"/>
      <c r="J31" s="90"/>
    </row>
    <row r="32" spans="1:10">
      <c r="A32" s="7"/>
      <c r="B32" s="6"/>
      <c r="C32" s="98"/>
      <c r="D32" s="6"/>
      <c r="E32" s="192"/>
      <c r="F32" s="192"/>
      <c r="G32" s="192"/>
      <c r="H32" s="192"/>
      <c r="I32" s="192"/>
      <c r="J32" s="90"/>
    </row>
    <row r="33" spans="1:10">
      <c r="A33" s="7"/>
      <c r="B33" s="6"/>
      <c r="C33" s="98"/>
      <c r="D33" s="6"/>
      <c r="E33" s="6"/>
      <c r="F33" s="241"/>
      <c r="G33" s="192"/>
      <c r="H33" s="192"/>
      <c r="I33" s="6"/>
      <c r="J33" s="90"/>
    </row>
    <row r="34" spans="1:10">
      <c r="A34" s="7"/>
      <c r="B34" s="192"/>
      <c r="C34" s="192"/>
      <c r="D34" s="192"/>
      <c r="E34" s="192"/>
      <c r="F34" s="192"/>
      <c r="G34" s="7"/>
      <c r="H34" s="6"/>
      <c r="I34" s="7"/>
    </row>
    <row r="37" spans="1:10">
      <c r="B37" s="90"/>
    </row>
    <row r="38" spans="1:10">
      <c r="B38" s="90"/>
    </row>
    <row r="39" spans="1:10">
      <c r="B39" s="90"/>
    </row>
    <row r="40" spans="1:10">
      <c r="B40" s="100"/>
    </row>
    <row r="41" spans="1:10">
      <c r="B41" s="100"/>
    </row>
    <row r="42" spans="1:10">
      <c r="B42" s="90"/>
    </row>
    <row r="43" spans="1:10">
      <c r="B43" s="90"/>
    </row>
  </sheetData>
  <sheetCalcPr fullCalcOnLoad="1"/>
  <phoneticPr fontId="0"/>
  <pageMargins left="0.75" right="0.75" top="1" bottom="1" header="0.5" footer="0.5"/>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Y724"/>
  <sheetViews>
    <sheetView workbookViewId="0">
      <selection activeCell="D73" sqref="D73"/>
    </sheetView>
  </sheetViews>
  <sheetFormatPr baseColWidth="10" defaultColWidth="11" defaultRowHeight="13"/>
  <cols>
    <col min="1" max="1" width="13.1640625" bestFit="1" customWidth="1"/>
    <col min="2" max="2" width="5" customWidth="1"/>
    <col min="3" max="3" width="4.5" customWidth="1"/>
    <col min="4" max="4" width="6" customWidth="1"/>
    <col min="5" max="5" width="8.6640625" customWidth="1"/>
    <col min="9" max="14" width="6.6640625" customWidth="1"/>
    <col min="15" max="15" width="6.6640625" style="90" customWidth="1"/>
    <col min="16" max="17" width="8.6640625" customWidth="1"/>
    <col min="18" max="18" width="11" style="90"/>
    <col min="19" max="19" width="6.6640625" style="90" customWidth="1"/>
    <col min="20" max="20" width="7" style="90" customWidth="1"/>
    <col min="21" max="21" width="6.6640625" customWidth="1"/>
    <col min="22" max="24" width="11" style="90"/>
    <col min="25" max="25" width="54.33203125" customWidth="1"/>
  </cols>
  <sheetData>
    <row r="1" spans="1:51">
      <c r="A1" s="88" t="s">
        <v>1961</v>
      </c>
      <c r="B1" s="88" t="s">
        <v>2073</v>
      </c>
      <c r="C1" s="88" t="s">
        <v>1542</v>
      </c>
      <c r="D1" s="88" t="s">
        <v>2370</v>
      </c>
      <c r="E1" s="88" t="s">
        <v>1383</v>
      </c>
      <c r="F1" s="88" t="s">
        <v>1397</v>
      </c>
      <c r="G1" s="88"/>
      <c r="H1" s="88"/>
      <c r="I1" s="5" t="s">
        <v>1403</v>
      </c>
      <c r="J1" s="5" t="s">
        <v>1777</v>
      </c>
      <c r="K1" s="5" t="s">
        <v>1796</v>
      </c>
      <c r="L1" s="5" t="s">
        <v>1525</v>
      </c>
      <c r="M1" s="5" t="s">
        <v>1382</v>
      </c>
      <c r="N1" s="5" t="s">
        <v>1797</v>
      </c>
      <c r="O1" s="5" t="s">
        <v>1798</v>
      </c>
      <c r="P1" s="5" t="s">
        <v>1662</v>
      </c>
      <c r="Q1" s="5" t="s">
        <v>2370</v>
      </c>
      <c r="R1" s="5" t="s">
        <v>1663</v>
      </c>
      <c r="S1" s="5" t="s">
        <v>1242</v>
      </c>
      <c r="T1" s="5" t="s">
        <v>1389</v>
      </c>
      <c r="U1" s="5" t="s">
        <v>1243</v>
      </c>
      <c r="V1" s="5" t="s">
        <v>1726</v>
      </c>
      <c r="W1" s="5" t="s">
        <v>1689</v>
      </c>
      <c r="X1" s="5" t="s">
        <v>1791</v>
      </c>
      <c r="Y1" s="220" t="s">
        <v>2102</v>
      </c>
      <c r="AA1" s="88" t="s">
        <v>1789</v>
      </c>
      <c r="AB1" s="6"/>
      <c r="AC1" s="6"/>
      <c r="AD1" s="6"/>
      <c r="AE1" s="6"/>
      <c r="AF1" s="6"/>
      <c r="AG1" s="172" t="s">
        <v>1777</v>
      </c>
      <c r="AH1" s="173" t="s">
        <v>1689</v>
      </c>
      <c r="AI1" s="174" t="s">
        <v>1790</v>
      </c>
      <c r="AJ1" s="175" t="s">
        <v>1689</v>
      </c>
      <c r="AK1" s="173" t="s">
        <v>1791</v>
      </c>
      <c r="AL1" s="174" t="s">
        <v>1798</v>
      </c>
      <c r="AM1" s="175" t="s">
        <v>1689</v>
      </c>
      <c r="AN1" s="173" t="s">
        <v>1791</v>
      </c>
      <c r="AO1" s="174" t="s">
        <v>2370</v>
      </c>
      <c r="AP1" s="175" t="s">
        <v>1689</v>
      </c>
      <c r="AQ1" s="173" t="s">
        <v>1791</v>
      </c>
      <c r="AR1" s="176" t="s">
        <v>1663</v>
      </c>
      <c r="AS1" s="177"/>
      <c r="AT1" s="177" t="s">
        <v>1689</v>
      </c>
      <c r="AU1" s="178" t="s">
        <v>1791</v>
      </c>
      <c r="AV1" s="77" t="str">
        <f>IF(AC14="Day",6,IF(AC14="Week",7,IF(AC14="Month",8,IF(AC14="Year",9,"ERROR"))))</f>
        <v>ERROR</v>
      </c>
      <c r="AW1" s="174" t="s">
        <v>1662</v>
      </c>
      <c r="AX1" s="175" t="s">
        <v>1792</v>
      </c>
      <c r="AY1" s="173" t="s">
        <v>1791</v>
      </c>
    </row>
    <row r="2" spans="1:51">
      <c r="A2" t="s">
        <v>2393</v>
      </c>
      <c r="I2" s="90"/>
      <c r="J2" s="90"/>
      <c r="K2" s="90"/>
      <c r="L2" s="90"/>
      <c r="M2" s="90"/>
      <c r="N2" s="90">
        <v>1</v>
      </c>
      <c r="P2" s="90"/>
      <c r="Q2" s="90" t="s">
        <v>2394</v>
      </c>
      <c r="U2" s="90"/>
      <c r="V2" s="90">
        <v>4</v>
      </c>
      <c r="W2" s="90">
        <v>0</v>
      </c>
      <c r="X2" s="90">
        <v>0</v>
      </c>
      <c r="Y2" s="221" t="s">
        <v>1545</v>
      </c>
      <c r="AA2" s="7" t="str">
        <f>A47</f>
        <v>Wall</v>
      </c>
      <c r="AB2" s="6"/>
      <c r="AC2" s="6"/>
      <c r="AD2" s="6"/>
      <c r="AE2" s="6"/>
      <c r="AF2" s="6"/>
      <c r="AG2" s="179" t="s">
        <v>1361</v>
      </c>
      <c r="AH2" s="180">
        <v>1</v>
      </c>
      <c r="AI2" s="181">
        <v>1</v>
      </c>
      <c r="AJ2" s="77">
        <v>0</v>
      </c>
      <c r="AK2" s="182">
        <v>0</v>
      </c>
      <c r="AL2" s="181">
        <v>1</v>
      </c>
      <c r="AM2" s="77">
        <v>0</v>
      </c>
      <c r="AN2" s="182">
        <v>0</v>
      </c>
      <c r="AO2" s="181">
        <v>1</v>
      </c>
      <c r="AP2" s="77">
        <v>-1</v>
      </c>
      <c r="AQ2" s="182">
        <v>-1</v>
      </c>
      <c r="AR2" s="175" t="s">
        <v>1660</v>
      </c>
      <c r="AS2" s="175">
        <v>1</v>
      </c>
      <c r="AT2" s="175">
        <v>0</v>
      </c>
      <c r="AU2" s="173">
        <v>0</v>
      </c>
      <c r="AV2" s="7"/>
      <c r="AW2" s="181" t="s">
        <v>1550</v>
      </c>
      <c r="AX2" s="77">
        <v>-1</v>
      </c>
      <c r="AY2" s="182">
        <v>-1</v>
      </c>
    </row>
    <row r="3" spans="1:51">
      <c r="A3" t="s">
        <v>1964</v>
      </c>
      <c r="B3" t="s">
        <v>2074</v>
      </c>
      <c r="C3">
        <v>5</v>
      </c>
      <c r="D3">
        <v>20</v>
      </c>
      <c r="E3" t="s">
        <v>1569</v>
      </c>
      <c r="F3" t="s">
        <v>1545</v>
      </c>
      <c r="I3" s="90">
        <v>0</v>
      </c>
      <c r="J3" s="90" t="s">
        <v>1876</v>
      </c>
      <c r="K3" s="90" t="s">
        <v>1361</v>
      </c>
      <c r="L3" s="90" t="s">
        <v>1876</v>
      </c>
      <c r="M3" s="90" t="s">
        <v>1361</v>
      </c>
      <c r="N3" s="90">
        <v>1</v>
      </c>
      <c r="O3" s="90">
        <v>0</v>
      </c>
      <c r="P3" s="90" t="s">
        <v>1762</v>
      </c>
      <c r="Q3" s="90">
        <f t="shared" ref="Q3" si="0">D3</f>
        <v>20</v>
      </c>
      <c r="R3" s="90">
        <v>2</v>
      </c>
      <c r="S3" s="90" t="s">
        <v>1614</v>
      </c>
      <c r="T3" s="90">
        <v>1</v>
      </c>
      <c r="U3" s="90">
        <f>IF(E3="Easy",2,IF(E3="Moderate",3,IF(E3="Hard",4,IF(E3="Very Hard",5,0))))</f>
        <v>3</v>
      </c>
      <c r="V3" s="90">
        <v>4</v>
      </c>
      <c r="W3" s="90">
        <v>8</v>
      </c>
      <c r="X3" s="90">
        <v>4</v>
      </c>
      <c r="Y3" s="221" t="s">
        <v>1545</v>
      </c>
      <c r="AA3" s="7"/>
      <c r="AB3" s="6"/>
      <c r="AC3" s="6"/>
      <c r="AD3" s="6"/>
      <c r="AE3" s="6"/>
      <c r="AF3" s="6"/>
      <c r="AG3" s="179"/>
      <c r="AH3" s="180"/>
      <c r="AI3" s="181"/>
      <c r="AJ3" s="77"/>
      <c r="AK3" s="182"/>
      <c r="AL3" s="181"/>
      <c r="AM3" s="77"/>
      <c r="AN3" s="182"/>
      <c r="AO3" s="181"/>
      <c r="AP3" s="77"/>
      <c r="AQ3" s="182"/>
      <c r="AR3" s="77"/>
      <c r="AS3" s="77"/>
      <c r="AT3" s="77"/>
      <c r="AU3" s="182"/>
      <c r="AV3" s="7"/>
      <c r="AW3" s="181"/>
      <c r="AX3" s="77"/>
      <c r="AY3" s="182"/>
    </row>
    <row r="4" spans="1:51">
      <c r="A4" t="s">
        <v>2311</v>
      </c>
      <c r="B4" t="s">
        <v>2074</v>
      </c>
      <c r="C4">
        <v>35</v>
      </c>
      <c r="D4">
        <v>10</v>
      </c>
      <c r="E4" t="s">
        <v>1546</v>
      </c>
      <c r="F4" t="s">
        <v>1815</v>
      </c>
      <c r="I4" s="90">
        <v>0</v>
      </c>
      <c r="J4" s="90" t="s">
        <v>1876</v>
      </c>
      <c r="K4" s="90" t="s">
        <v>1361</v>
      </c>
      <c r="L4" s="90" t="s">
        <v>1876</v>
      </c>
      <c r="M4" s="90" t="s">
        <v>1361</v>
      </c>
      <c r="N4" s="90">
        <v>1</v>
      </c>
      <c r="O4" s="90">
        <v>0</v>
      </c>
      <c r="P4" s="90" t="s">
        <v>1762</v>
      </c>
      <c r="Q4" s="90">
        <f t="shared" ref="Q4:Q47" si="1">D4</f>
        <v>10</v>
      </c>
      <c r="R4" s="90">
        <v>2</v>
      </c>
      <c r="S4" s="90" t="s">
        <v>1614</v>
      </c>
      <c r="T4" s="90">
        <v>1</v>
      </c>
      <c r="U4" s="90">
        <f>IF(E4="Easy",2,IF(E4="Moderate",3,IF(E4="Hard",4,IF(E4="Very Hard",5,0))))</f>
        <v>4</v>
      </c>
      <c r="V4" s="90">
        <v>5</v>
      </c>
      <c r="W4" s="90">
        <v>8</v>
      </c>
      <c r="X4" s="90">
        <v>4</v>
      </c>
      <c r="Y4" s="221" t="s">
        <v>1815</v>
      </c>
      <c r="AA4" s="88" t="s">
        <v>1523</v>
      </c>
      <c r="AB4" s="5" t="s">
        <v>1524</v>
      </c>
      <c r="AC4" s="5" t="s">
        <v>1242</v>
      </c>
      <c r="AD4" s="5" t="s">
        <v>1689</v>
      </c>
      <c r="AE4" s="5" t="s">
        <v>1791</v>
      </c>
      <c r="AF4" s="5"/>
      <c r="AG4" s="183" t="s">
        <v>1876</v>
      </c>
      <c r="AH4" s="184">
        <v>0</v>
      </c>
      <c r="AI4" s="181">
        <v>2</v>
      </c>
      <c r="AJ4" s="77">
        <v>1</v>
      </c>
      <c r="AK4" s="182">
        <v>1</v>
      </c>
      <c r="AL4" s="181">
        <v>3</v>
      </c>
      <c r="AM4" s="77">
        <v>1</v>
      </c>
      <c r="AN4" s="182">
        <v>1</v>
      </c>
      <c r="AO4" s="181">
        <v>2</v>
      </c>
      <c r="AP4" s="77">
        <v>0</v>
      </c>
      <c r="AQ4" s="182">
        <v>0</v>
      </c>
      <c r="AR4" s="185"/>
      <c r="AS4" s="185">
        <v>2</v>
      </c>
      <c r="AT4" s="185">
        <v>1</v>
      </c>
      <c r="AU4" s="186">
        <v>1</v>
      </c>
      <c r="AV4" s="7"/>
      <c r="AW4" s="181" t="s">
        <v>1762</v>
      </c>
      <c r="AX4" s="77">
        <v>0</v>
      </c>
      <c r="AY4" s="182">
        <v>0</v>
      </c>
    </row>
    <row r="5" spans="1:51">
      <c r="A5" t="s">
        <v>2124</v>
      </c>
      <c r="B5" t="s">
        <v>1919</v>
      </c>
      <c r="C5">
        <v>30</v>
      </c>
      <c r="D5" t="s">
        <v>1706</v>
      </c>
      <c r="E5" t="s">
        <v>1569</v>
      </c>
      <c r="F5" t="s">
        <v>1461</v>
      </c>
      <c r="I5" s="90">
        <v>0</v>
      </c>
      <c r="J5" s="90" t="s">
        <v>1876</v>
      </c>
      <c r="K5" s="90" t="s">
        <v>1361</v>
      </c>
      <c r="L5" s="90" t="s">
        <v>1876</v>
      </c>
      <c r="M5" s="90" t="s">
        <v>1361</v>
      </c>
      <c r="N5" s="90">
        <v>1</v>
      </c>
      <c r="O5" s="90">
        <v>0</v>
      </c>
      <c r="P5" s="90" t="s">
        <v>1762</v>
      </c>
      <c r="Q5" s="90" t="str">
        <f t="shared" si="1"/>
        <v>Touch</v>
      </c>
      <c r="R5" s="90">
        <v>10</v>
      </c>
      <c r="S5" s="90" t="s">
        <v>1915</v>
      </c>
      <c r="T5" s="90">
        <v>1</v>
      </c>
      <c r="U5" s="90">
        <f>IF(E5="Easy",2,IF(E5="Moderate",3,IF(E5="Hard",4,IF(E5="Very Hard",5,0))))</f>
        <v>3</v>
      </c>
      <c r="V5" s="90">
        <v>4</v>
      </c>
      <c r="W5" s="90">
        <v>5</v>
      </c>
      <c r="X5" s="90">
        <v>2</v>
      </c>
      <c r="Y5" s="221" t="s">
        <v>2001</v>
      </c>
      <c r="AA5" s="7" t="s">
        <v>1403</v>
      </c>
      <c r="AB5" s="6">
        <f>LOOKUP(AA2,A2:A47,I2:I47)</f>
        <v>0</v>
      </c>
      <c r="AC5" s="6"/>
      <c r="AD5" s="6">
        <f>-AB5</f>
        <v>0</v>
      </c>
      <c r="AE5" s="6">
        <f>-AB5</f>
        <v>0</v>
      </c>
      <c r="AF5" s="5"/>
      <c r="AG5" s="5"/>
      <c r="AH5" s="7"/>
      <c r="AI5" s="181">
        <v>3</v>
      </c>
      <c r="AJ5" s="77">
        <v>2</v>
      </c>
      <c r="AK5" s="182">
        <v>2</v>
      </c>
      <c r="AL5" s="181">
        <f>AL4+3</f>
        <v>6</v>
      </c>
      <c r="AM5" s="77">
        <v>2</v>
      </c>
      <c r="AN5" s="182">
        <v>2</v>
      </c>
      <c r="AO5" s="181">
        <v>3</v>
      </c>
      <c r="AP5" s="77">
        <v>1</v>
      </c>
      <c r="AQ5" s="182">
        <v>1</v>
      </c>
      <c r="AR5" s="175" t="s">
        <v>1655</v>
      </c>
      <c r="AS5" s="175">
        <v>1</v>
      </c>
      <c r="AT5" s="175">
        <v>1</v>
      </c>
      <c r="AU5" s="173">
        <v>1</v>
      </c>
      <c r="AV5" s="7"/>
      <c r="AW5" s="187" t="s">
        <v>2104</v>
      </c>
      <c r="AX5" s="185">
        <v>4</v>
      </c>
      <c r="AY5" s="186">
        <v>4</v>
      </c>
    </row>
    <row r="6" spans="1:51">
      <c r="A6" t="s">
        <v>2312</v>
      </c>
      <c r="B6" t="s">
        <v>2074</v>
      </c>
      <c r="C6">
        <v>5</v>
      </c>
      <c r="D6">
        <v>10</v>
      </c>
      <c r="E6" t="s">
        <v>1546</v>
      </c>
      <c r="F6" t="s">
        <v>1974</v>
      </c>
      <c r="I6" s="90">
        <v>0</v>
      </c>
      <c r="J6" s="90" t="s">
        <v>1876</v>
      </c>
      <c r="K6" s="90" t="s">
        <v>1361</v>
      </c>
      <c r="L6" s="90" t="s">
        <v>1876</v>
      </c>
      <c r="M6" s="90" t="s">
        <v>1361</v>
      </c>
      <c r="N6" s="90">
        <v>1</v>
      </c>
      <c r="O6" s="90">
        <v>0</v>
      </c>
      <c r="P6" s="90" t="s">
        <v>1762</v>
      </c>
      <c r="Q6" s="90">
        <f t="shared" si="1"/>
        <v>10</v>
      </c>
      <c r="R6" s="90">
        <v>3</v>
      </c>
      <c r="S6" s="90" t="s">
        <v>1614</v>
      </c>
      <c r="T6" s="90">
        <v>1</v>
      </c>
      <c r="U6" s="90">
        <f>IF(E6="Easy",2,IF(E6="Moderate",3,IF(E6="Hard",4,IF(E6="Very Hard",5,0))))</f>
        <v>4</v>
      </c>
      <c r="V6" s="90">
        <v>5</v>
      </c>
      <c r="W6" s="90">
        <v>8</v>
      </c>
      <c r="X6" s="90">
        <v>4</v>
      </c>
      <c r="Y6" s="221" t="s">
        <v>1974</v>
      </c>
      <c r="AA6" s="7" t="s">
        <v>1777</v>
      </c>
      <c r="AB6" s="6" t="str">
        <f>LOOKUP(AA2,A2:A47,J2:J47)</f>
        <v>Yes</v>
      </c>
      <c r="AC6" s="6"/>
      <c r="AD6" s="6">
        <f>IF(AB6=0,0,LOOKUP(AB6,AG2:AG4,AH2:AH4))</f>
        <v>0</v>
      </c>
      <c r="AE6" s="6">
        <f>IF(AB6=0,0,LOOKUP(AB6,AG2:AG4,AH2:AH4))</f>
        <v>0</v>
      </c>
      <c r="AF6" s="5"/>
      <c r="AG6" s="5"/>
      <c r="AH6" s="7"/>
      <c r="AI6" s="181">
        <v>4</v>
      </c>
      <c r="AJ6" s="77">
        <v>3</v>
      </c>
      <c r="AK6" s="182">
        <v>3</v>
      </c>
      <c r="AL6" s="181">
        <f t="shared" ref="AL6:AL20" si="2">AL5+3</f>
        <v>9</v>
      </c>
      <c r="AM6" s="77">
        <v>3</v>
      </c>
      <c r="AN6" s="182">
        <v>3</v>
      </c>
      <c r="AO6" s="181">
        <v>6</v>
      </c>
      <c r="AP6" s="77">
        <v>2</v>
      </c>
      <c r="AQ6" s="182">
        <v>2</v>
      </c>
      <c r="AR6" s="77"/>
      <c r="AS6" s="77">
        <v>2</v>
      </c>
      <c r="AT6" s="77">
        <v>2</v>
      </c>
      <c r="AU6" s="182">
        <v>2</v>
      </c>
      <c r="AV6" s="7"/>
      <c r="AW6" s="7"/>
      <c r="AX6" s="7"/>
      <c r="AY6" s="7"/>
    </row>
    <row r="7" spans="1:51">
      <c r="A7" t="s">
        <v>2123</v>
      </c>
      <c r="B7" t="s">
        <v>1919</v>
      </c>
      <c r="C7">
        <v>20</v>
      </c>
      <c r="D7">
        <v>10</v>
      </c>
      <c r="E7" t="s">
        <v>1569</v>
      </c>
      <c r="F7" t="s">
        <v>1745</v>
      </c>
      <c r="I7" s="90">
        <v>0</v>
      </c>
      <c r="J7" s="90" t="s">
        <v>1876</v>
      </c>
      <c r="K7" s="90" t="s">
        <v>1361</v>
      </c>
      <c r="L7" s="90" t="s">
        <v>1876</v>
      </c>
      <c r="M7" s="90" t="s">
        <v>1361</v>
      </c>
      <c r="N7" s="90">
        <v>1</v>
      </c>
      <c r="O7" s="90">
        <v>0</v>
      </c>
      <c r="P7" s="90" t="s">
        <v>1762</v>
      </c>
      <c r="Q7" s="90">
        <f t="shared" si="1"/>
        <v>10</v>
      </c>
      <c r="R7" s="90" t="s">
        <v>1237</v>
      </c>
      <c r="T7" s="90">
        <v>1</v>
      </c>
      <c r="U7" s="90">
        <f>IF(E7="Easy",2,IF(E7="Moderate",3,IF(E7="Hard",4,IF(E7="Very Hard",5,0))))</f>
        <v>3</v>
      </c>
      <c r="V7" s="90">
        <v>4</v>
      </c>
      <c r="W7" s="90">
        <v>18</v>
      </c>
      <c r="X7" s="90">
        <v>9</v>
      </c>
      <c r="Y7" s="221" t="s">
        <v>1097</v>
      </c>
      <c r="AA7" s="174" t="s">
        <v>1796</v>
      </c>
      <c r="AB7" s="188" t="str">
        <f>LOOKUP(AA2,A2:A47,K2:K47)</f>
        <v>No</v>
      </c>
      <c r="AC7" s="188" t="s">
        <v>1668</v>
      </c>
      <c r="AD7" s="188">
        <f>IF(AB7="No",0,1)</f>
        <v>0</v>
      </c>
      <c r="AE7" s="189">
        <f>IF(AB7="No",0,-1)</f>
        <v>0</v>
      </c>
      <c r="AF7" s="190"/>
      <c r="AG7" s="190"/>
      <c r="AH7" s="7"/>
      <c r="AI7" s="181">
        <v>5</v>
      </c>
      <c r="AJ7" s="77">
        <v>4</v>
      </c>
      <c r="AK7" s="182">
        <v>4</v>
      </c>
      <c r="AL7" s="181">
        <f t="shared" si="2"/>
        <v>12</v>
      </c>
      <c r="AM7" s="77">
        <v>4</v>
      </c>
      <c r="AN7" s="182">
        <v>4</v>
      </c>
      <c r="AO7" s="181">
        <v>11</v>
      </c>
      <c r="AP7" s="77">
        <v>3</v>
      </c>
      <c r="AQ7" s="182">
        <v>3</v>
      </c>
      <c r="AR7" s="77"/>
      <c r="AS7" s="77">
        <v>6</v>
      </c>
      <c r="AT7" s="77">
        <v>3</v>
      </c>
      <c r="AU7" s="182">
        <v>3</v>
      </c>
      <c r="AV7" s="7"/>
      <c r="AW7" s="7"/>
      <c r="AX7" s="7"/>
      <c r="AY7" s="7"/>
    </row>
    <row r="8" spans="1:51">
      <c r="A8" t="s">
        <v>1917</v>
      </c>
      <c r="B8" t="s">
        <v>1919</v>
      </c>
      <c r="C8">
        <v>40</v>
      </c>
      <c r="D8">
        <v>10</v>
      </c>
      <c r="E8" t="s">
        <v>1975</v>
      </c>
      <c r="F8" t="s">
        <v>2411</v>
      </c>
      <c r="I8" s="90">
        <v>0</v>
      </c>
      <c r="J8" s="90" t="s">
        <v>1876</v>
      </c>
      <c r="K8" s="90" t="s">
        <v>1361</v>
      </c>
      <c r="L8" s="90" t="s">
        <v>1876</v>
      </c>
      <c r="M8" s="90" t="s">
        <v>1361</v>
      </c>
      <c r="N8" s="90">
        <v>1</v>
      </c>
      <c r="O8" s="90">
        <v>0</v>
      </c>
      <c r="P8" s="90" t="s">
        <v>1762</v>
      </c>
      <c r="Q8" s="90">
        <f t="shared" si="1"/>
        <v>10</v>
      </c>
      <c r="R8" s="90" t="s">
        <v>1237</v>
      </c>
      <c r="T8" s="90">
        <v>2</v>
      </c>
      <c r="U8" s="90">
        <v>6</v>
      </c>
      <c r="V8" s="90">
        <v>7</v>
      </c>
      <c r="W8" s="90">
        <v>22</v>
      </c>
      <c r="X8" s="90">
        <v>11</v>
      </c>
      <c r="Y8" s="221" t="s">
        <v>851</v>
      </c>
      <c r="AA8" s="181" t="s">
        <v>1525</v>
      </c>
      <c r="AB8" s="190" t="str">
        <f>LOOKUP(AA2,A2:A47,L2:L47)</f>
        <v>Yes</v>
      </c>
      <c r="AC8" s="190" t="s">
        <v>1668</v>
      </c>
      <c r="AD8" s="190">
        <f>IF(AB8="No",0,1)</f>
        <v>1</v>
      </c>
      <c r="AE8" s="180">
        <f>IF(AB8="No",0,-1)</f>
        <v>-1</v>
      </c>
      <c r="AF8" s="190"/>
      <c r="AG8" s="190"/>
      <c r="AH8" s="7"/>
      <c r="AI8" s="181">
        <v>6</v>
      </c>
      <c r="AJ8" s="77">
        <v>5</v>
      </c>
      <c r="AK8" s="182">
        <v>5</v>
      </c>
      <c r="AL8" s="181">
        <f t="shared" si="2"/>
        <v>15</v>
      </c>
      <c r="AM8" s="77">
        <v>5</v>
      </c>
      <c r="AN8" s="182">
        <v>5</v>
      </c>
      <c r="AO8" s="181">
        <v>51</v>
      </c>
      <c r="AP8" s="77">
        <v>4</v>
      </c>
      <c r="AQ8" s="182">
        <v>4</v>
      </c>
      <c r="AR8" s="77"/>
      <c r="AS8" s="77">
        <v>11</v>
      </c>
      <c r="AT8" s="77">
        <v>4</v>
      </c>
      <c r="AU8" s="182">
        <v>4</v>
      </c>
      <c r="AV8" s="7"/>
      <c r="AW8" s="7"/>
      <c r="AX8" s="7"/>
      <c r="AY8" s="7"/>
    </row>
    <row r="9" spans="1:51">
      <c r="A9" t="s">
        <v>1963</v>
      </c>
      <c r="B9" t="s">
        <v>2074</v>
      </c>
      <c r="C9">
        <v>10</v>
      </c>
      <c r="D9">
        <v>20</v>
      </c>
      <c r="E9" t="s">
        <v>1384</v>
      </c>
      <c r="F9" t="s">
        <v>1417</v>
      </c>
      <c r="I9" s="90">
        <v>0</v>
      </c>
      <c r="J9" s="90" t="s">
        <v>1876</v>
      </c>
      <c r="K9" s="90" t="s">
        <v>1361</v>
      </c>
      <c r="L9" s="90" t="s">
        <v>1876</v>
      </c>
      <c r="M9" s="90" t="s">
        <v>1361</v>
      </c>
      <c r="N9" s="90">
        <v>1</v>
      </c>
      <c r="O9" s="90">
        <v>0</v>
      </c>
      <c r="P9" s="90" t="s">
        <v>1762</v>
      </c>
      <c r="Q9" s="90">
        <f t="shared" si="1"/>
        <v>20</v>
      </c>
      <c r="R9" s="90">
        <v>10</v>
      </c>
      <c r="S9" s="90" t="s">
        <v>1915</v>
      </c>
      <c r="T9" s="90">
        <v>1</v>
      </c>
      <c r="U9" s="90">
        <f>IF(E9="Easy",2,IF(E9="Moderate",3,IF(E9="Hard",4,IF(E9="Very Hard",5,0))))</f>
        <v>2</v>
      </c>
      <c r="V9" s="90">
        <v>3</v>
      </c>
      <c r="W9" s="90">
        <v>9</v>
      </c>
      <c r="X9" s="90">
        <v>4</v>
      </c>
      <c r="Y9" s="221" t="s">
        <v>950</v>
      </c>
      <c r="AA9" s="187" t="s">
        <v>1382</v>
      </c>
      <c r="AB9" s="191" t="str">
        <f>LOOKUP(AA2,A2:A47,M2:M47)</f>
        <v>No</v>
      </c>
      <c r="AC9" s="191" t="s">
        <v>1668</v>
      </c>
      <c r="AD9" s="191">
        <f>IF(AB9="No",0,1)</f>
        <v>0</v>
      </c>
      <c r="AE9" s="184">
        <f>IF(AB9="No",0,-1)</f>
        <v>0</v>
      </c>
      <c r="AF9" s="190"/>
      <c r="AG9" s="190"/>
      <c r="AH9" s="7"/>
      <c r="AI9" s="181">
        <v>7</v>
      </c>
      <c r="AJ9" s="77">
        <v>6</v>
      </c>
      <c r="AK9" s="182">
        <v>6</v>
      </c>
      <c r="AL9" s="181">
        <f t="shared" si="2"/>
        <v>18</v>
      </c>
      <c r="AM9" s="77">
        <v>6</v>
      </c>
      <c r="AN9" s="182">
        <v>6</v>
      </c>
      <c r="AO9" s="181">
        <v>101</v>
      </c>
      <c r="AP9" s="77">
        <v>5</v>
      </c>
      <c r="AQ9" s="182">
        <v>5</v>
      </c>
      <c r="AR9" s="77"/>
      <c r="AS9" s="77">
        <v>31</v>
      </c>
      <c r="AT9" s="77">
        <v>5</v>
      </c>
      <c r="AU9" s="182">
        <v>5</v>
      </c>
      <c r="AV9" s="7"/>
      <c r="AW9" s="7"/>
      <c r="AX9" s="7"/>
      <c r="AY9" s="7"/>
    </row>
    <row r="10" spans="1:51">
      <c r="A10" t="s">
        <v>2219</v>
      </c>
      <c r="B10" t="s">
        <v>2186</v>
      </c>
      <c r="C10">
        <v>10</v>
      </c>
      <c r="D10">
        <v>20</v>
      </c>
      <c r="E10" t="s">
        <v>1546</v>
      </c>
      <c r="F10" t="s">
        <v>1949</v>
      </c>
      <c r="I10" s="90">
        <v>0</v>
      </c>
      <c r="J10" s="90" t="s">
        <v>1876</v>
      </c>
      <c r="K10" s="90" t="s">
        <v>1361</v>
      </c>
      <c r="L10" s="90" t="s">
        <v>1876</v>
      </c>
      <c r="M10" s="90" t="s">
        <v>1361</v>
      </c>
      <c r="N10" s="90">
        <v>1</v>
      </c>
      <c r="O10" s="90">
        <v>0</v>
      </c>
      <c r="P10" s="90" t="s">
        <v>1762</v>
      </c>
      <c r="Q10" s="90">
        <f t="shared" si="1"/>
        <v>20</v>
      </c>
      <c r="R10" s="90">
        <v>1</v>
      </c>
      <c r="S10" s="90" t="s">
        <v>1614</v>
      </c>
      <c r="T10" s="90">
        <v>2</v>
      </c>
      <c r="U10" s="90">
        <v>6</v>
      </c>
      <c r="V10" s="90">
        <v>5</v>
      </c>
      <c r="W10" s="90">
        <v>9</v>
      </c>
      <c r="X10" s="90">
        <v>4</v>
      </c>
      <c r="Y10" s="221" t="s">
        <v>1255</v>
      </c>
      <c r="AA10" s="174" t="s">
        <v>1797</v>
      </c>
      <c r="AB10" s="188">
        <f>LOOKUP(AA2,A2:A47,N2:N47)</f>
        <v>1</v>
      </c>
      <c r="AC10" s="188" t="s">
        <v>1668</v>
      </c>
      <c r="AD10" s="188">
        <f>IF(AB11=0,LOOKUP(AB10,AI2:AI22,AJ2:AJ22),0)</f>
        <v>0</v>
      </c>
      <c r="AE10" s="189">
        <f>IF(AB11=0,LOOKUP(AB10,AI2:AI22,AK2:AK22),0)</f>
        <v>0</v>
      </c>
      <c r="AF10" s="190"/>
      <c r="AG10" s="190"/>
      <c r="AH10" s="7"/>
      <c r="AI10" s="181">
        <v>8</v>
      </c>
      <c r="AJ10" s="77">
        <v>7</v>
      </c>
      <c r="AK10" s="182">
        <v>7</v>
      </c>
      <c r="AL10" s="181">
        <f t="shared" si="2"/>
        <v>21</v>
      </c>
      <c r="AM10" s="77">
        <v>7</v>
      </c>
      <c r="AN10" s="182">
        <v>7</v>
      </c>
      <c r="AO10" s="181">
        <v>501</v>
      </c>
      <c r="AP10" s="77">
        <v>6</v>
      </c>
      <c r="AQ10" s="182">
        <v>6</v>
      </c>
      <c r="AR10" s="174" t="s">
        <v>1656</v>
      </c>
      <c r="AS10" s="175">
        <v>1</v>
      </c>
      <c r="AT10" s="175">
        <v>5</v>
      </c>
      <c r="AU10" s="173">
        <v>5</v>
      </c>
      <c r="AV10" s="7"/>
      <c r="AW10" s="7"/>
      <c r="AX10" s="7"/>
      <c r="AY10" s="7"/>
    </row>
    <row r="11" spans="1:51">
      <c r="A11" t="s">
        <v>2022</v>
      </c>
      <c r="B11" t="s">
        <v>2075</v>
      </c>
      <c r="C11">
        <v>75</v>
      </c>
      <c r="D11">
        <v>10</v>
      </c>
      <c r="E11" t="s">
        <v>1975</v>
      </c>
      <c r="F11" t="s">
        <v>2267</v>
      </c>
      <c r="I11" s="90">
        <v>0</v>
      </c>
      <c r="J11" s="90" t="s">
        <v>1876</v>
      </c>
      <c r="K11" s="90" t="s">
        <v>1361</v>
      </c>
      <c r="L11" s="90" t="s">
        <v>1876</v>
      </c>
      <c r="M11" s="90" t="s">
        <v>1361</v>
      </c>
      <c r="N11" s="90">
        <v>1</v>
      </c>
      <c r="O11" s="90">
        <v>0</v>
      </c>
      <c r="P11" s="90" t="s">
        <v>1762</v>
      </c>
      <c r="Q11" s="90">
        <f t="shared" si="1"/>
        <v>10</v>
      </c>
      <c r="R11" s="90">
        <v>5</v>
      </c>
      <c r="S11" s="90" t="s">
        <v>1614</v>
      </c>
      <c r="T11" s="90">
        <v>2</v>
      </c>
      <c r="U11" s="90">
        <f>IF(E11="Easy",2,IF(E11="Moderate",3,IF(E11="Hard",4,IF(E11="Very Hard",5,0))))</f>
        <v>5</v>
      </c>
      <c r="V11" s="90">
        <v>6</v>
      </c>
      <c r="W11" s="90">
        <v>10</v>
      </c>
      <c r="X11" s="90">
        <v>5</v>
      </c>
      <c r="Y11" s="221" t="s">
        <v>2267</v>
      </c>
      <c r="AA11" s="187" t="s">
        <v>1798</v>
      </c>
      <c r="AB11" s="191">
        <f>LOOKUP(AA2,A2:A47,O2:O47)</f>
        <v>0</v>
      </c>
      <c r="AC11" s="191" t="s">
        <v>1668</v>
      </c>
      <c r="AD11" s="191">
        <f>IF(AB11=0,0,IF(AB10=0,LOOKUP(AB11,AL2:AL22,AM2:AM22),"Cannot have both"))</f>
        <v>0</v>
      </c>
      <c r="AE11" s="184">
        <f>IF(AB11=0,0,IF(AB10=0,LOOKUP(AB11,AL2:AL22,AN2:AN22),"targets and area"))</f>
        <v>0</v>
      </c>
      <c r="AF11" s="190"/>
      <c r="AG11" s="190"/>
      <c r="AH11" s="7"/>
      <c r="AI11" s="181">
        <v>9</v>
      </c>
      <c r="AJ11" s="77">
        <v>8</v>
      </c>
      <c r="AK11" s="182">
        <v>8</v>
      </c>
      <c r="AL11" s="181">
        <f t="shared" si="2"/>
        <v>24</v>
      </c>
      <c r="AM11" s="77">
        <v>8</v>
      </c>
      <c r="AN11" s="182">
        <v>8</v>
      </c>
      <c r="AO11" s="181">
        <v>1001</v>
      </c>
      <c r="AP11" s="77">
        <v>7</v>
      </c>
      <c r="AQ11" s="182">
        <v>7</v>
      </c>
      <c r="AR11" s="181" t="s">
        <v>1657</v>
      </c>
      <c r="AS11" s="77">
        <v>1</v>
      </c>
      <c r="AT11" s="77">
        <v>6</v>
      </c>
      <c r="AU11" s="182">
        <v>6</v>
      </c>
      <c r="AV11" s="7"/>
      <c r="AW11" s="7"/>
      <c r="AX11" s="7"/>
      <c r="AY11" s="7"/>
    </row>
    <row r="12" spans="1:51">
      <c r="A12" t="s">
        <v>2209</v>
      </c>
      <c r="B12" t="s">
        <v>2186</v>
      </c>
      <c r="C12">
        <v>30</v>
      </c>
      <c r="D12">
        <v>10</v>
      </c>
      <c r="E12" t="s">
        <v>1975</v>
      </c>
      <c r="F12" t="s">
        <v>1799</v>
      </c>
      <c r="I12" s="90">
        <v>0</v>
      </c>
      <c r="J12" s="90" t="s">
        <v>1876</v>
      </c>
      <c r="K12" s="90" t="s">
        <v>1361</v>
      </c>
      <c r="L12" s="90" t="s">
        <v>1876</v>
      </c>
      <c r="M12" s="90" t="s">
        <v>1361</v>
      </c>
      <c r="N12" s="90" t="s">
        <v>1761</v>
      </c>
      <c r="O12" s="90">
        <v>3</v>
      </c>
      <c r="P12" s="90" t="s">
        <v>2104</v>
      </c>
      <c r="Q12" s="90">
        <f t="shared" si="1"/>
        <v>10</v>
      </c>
      <c r="R12" s="90" t="s">
        <v>1235</v>
      </c>
      <c r="T12" s="90">
        <v>2</v>
      </c>
      <c r="U12" s="90">
        <v>8</v>
      </c>
      <c r="V12" s="90">
        <v>9</v>
      </c>
      <c r="W12" s="90">
        <v>16</v>
      </c>
      <c r="X12" s="90">
        <v>8</v>
      </c>
      <c r="Y12" s="221" t="s">
        <v>1053</v>
      </c>
      <c r="AA12" s="7" t="s">
        <v>1662</v>
      </c>
      <c r="AB12" s="6" t="str">
        <f>LOOKUP(AA2,A2:A47,P2:P47)</f>
        <v>None</v>
      </c>
      <c r="AC12" s="6" t="s">
        <v>1668</v>
      </c>
      <c r="AD12" s="6">
        <f>IF(AB12="Full",-1,IF(AB12="Partial",0,IF(AB12="None",4,"ERROR!")))</f>
        <v>4</v>
      </c>
      <c r="AE12" s="6">
        <f>IF(AB12="Full",-1,IF(AB12="Partial",0,IF(AB12="None",4,"ERROR!")))</f>
        <v>4</v>
      </c>
      <c r="AF12" s="6"/>
      <c r="AG12" s="6"/>
      <c r="AH12" s="7"/>
      <c r="AI12" s="181">
        <v>10</v>
      </c>
      <c r="AJ12" s="77">
        <v>9</v>
      </c>
      <c r="AK12" s="182">
        <v>9</v>
      </c>
      <c r="AL12" s="181">
        <f t="shared" si="2"/>
        <v>27</v>
      </c>
      <c r="AM12" s="77">
        <v>9</v>
      </c>
      <c r="AN12" s="182">
        <v>9</v>
      </c>
      <c r="AO12" s="181">
        <v>5001</v>
      </c>
      <c r="AP12" s="77">
        <v>8</v>
      </c>
      <c r="AQ12" s="182">
        <v>8</v>
      </c>
      <c r="AR12" s="181" t="s">
        <v>1233</v>
      </c>
      <c r="AS12" s="77">
        <v>1</v>
      </c>
      <c r="AT12" s="77">
        <v>7</v>
      </c>
      <c r="AU12" s="182">
        <v>7</v>
      </c>
      <c r="AV12" s="7"/>
      <c r="AW12" s="7"/>
      <c r="AX12" s="7"/>
      <c r="AY12" s="7"/>
    </row>
    <row r="13" spans="1:51">
      <c r="A13" t="s">
        <v>2313</v>
      </c>
      <c r="B13" t="s">
        <v>2074</v>
      </c>
      <c r="C13">
        <v>5</v>
      </c>
      <c r="D13">
        <v>10</v>
      </c>
      <c r="E13" t="s">
        <v>1975</v>
      </c>
      <c r="F13" t="s">
        <v>1979</v>
      </c>
      <c r="I13" s="90">
        <v>0</v>
      </c>
      <c r="J13" s="90" t="s">
        <v>1876</v>
      </c>
      <c r="K13" s="90" t="s">
        <v>1361</v>
      </c>
      <c r="L13" s="90" t="s">
        <v>1876</v>
      </c>
      <c r="M13" s="90" t="s">
        <v>1361</v>
      </c>
      <c r="N13" s="90">
        <v>1</v>
      </c>
      <c r="O13" s="90">
        <v>0</v>
      </c>
      <c r="P13" s="90" t="s">
        <v>1762</v>
      </c>
      <c r="Q13" s="90">
        <f t="shared" si="1"/>
        <v>10</v>
      </c>
      <c r="R13" s="90">
        <v>5</v>
      </c>
      <c r="S13" s="90" t="s">
        <v>1614</v>
      </c>
      <c r="T13" s="90">
        <v>1</v>
      </c>
      <c r="U13" s="90">
        <f t="shared" ref="U13:U20" si="3">IF(E13="Easy",2,IF(E13="Moderate",3,IF(E13="Hard",4,IF(E13="Very Hard",5,0))))</f>
        <v>5</v>
      </c>
      <c r="V13" s="90">
        <v>6</v>
      </c>
      <c r="W13" s="90">
        <v>9</v>
      </c>
      <c r="X13" s="90">
        <v>4</v>
      </c>
      <c r="Y13" s="221" t="s">
        <v>1979</v>
      </c>
      <c r="AA13" s="7" t="s">
        <v>2370</v>
      </c>
      <c r="AB13" s="6">
        <f>LOOKUP(AA2,A2:A47,Q2:Q47)</f>
        <v>10</v>
      </c>
      <c r="AC13" s="6"/>
      <c r="AD13" s="6">
        <f>IF(AB13="Touch",-2,LOOKUP(AB13,AO2:AO22,AP2:AP22))</f>
        <v>2</v>
      </c>
      <c r="AE13" s="6">
        <f>IF(AB13="Touch",-2,LOOKUP(AB13,AO2:AO22,AQ2:AQ22))</f>
        <v>2</v>
      </c>
      <c r="AF13" s="6"/>
      <c r="AG13" s="6"/>
      <c r="AH13" s="7"/>
      <c r="AI13" s="181">
        <v>11</v>
      </c>
      <c r="AJ13" s="77">
        <v>10</v>
      </c>
      <c r="AK13" s="182">
        <v>10</v>
      </c>
      <c r="AL13" s="181">
        <f t="shared" si="2"/>
        <v>30</v>
      </c>
      <c r="AM13" s="77">
        <v>10</v>
      </c>
      <c r="AN13" s="182">
        <v>10</v>
      </c>
      <c r="AO13" s="181">
        <v>10001</v>
      </c>
      <c r="AP13" s="77">
        <v>9</v>
      </c>
      <c r="AQ13" s="182">
        <v>9</v>
      </c>
      <c r="AR13" s="181" t="s">
        <v>1234</v>
      </c>
      <c r="AS13" s="77">
        <v>1</v>
      </c>
      <c r="AT13" s="77">
        <v>8</v>
      </c>
      <c r="AU13" s="182">
        <v>8</v>
      </c>
      <c r="AV13" s="77"/>
      <c r="AW13" s="7"/>
      <c r="AX13" s="7"/>
      <c r="AY13" s="7"/>
    </row>
    <row r="14" spans="1:51">
      <c r="A14" t="s">
        <v>2212</v>
      </c>
      <c r="B14" t="s">
        <v>1740</v>
      </c>
      <c r="C14">
        <v>100</v>
      </c>
      <c r="D14">
        <v>5</v>
      </c>
      <c r="E14" t="s">
        <v>1975</v>
      </c>
      <c r="F14" t="s">
        <v>1607</v>
      </c>
      <c r="I14" s="90">
        <v>0</v>
      </c>
      <c r="J14" s="90" t="s">
        <v>1876</v>
      </c>
      <c r="K14" s="90" t="s">
        <v>1361</v>
      </c>
      <c r="L14" s="90" t="s">
        <v>1876</v>
      </c>
      <c r="M14" s="90" t="s">
        <v>1361</v>
      </c>
      <c r="N14" s="90">
        <v>1</v>
      </c>
      <c r="O14" s="90">
        <v>0</v>
      </c>
      <c r="P14" s="90" t="s">
        <v>2104</v>
      </c>
      <c r="Q14" s="90">
        <f t="shared" si="1"/>
        <v>5</v>
      </c>
      <c r="R14" s="90">
        <v>2</v>
      </c>
      <c r="S14" s="90" t="s">
        <v>1614</v>
      </c>
      <c r="T14" s="90">
        <v>1</v>
      </c>
      <c r="U14" s="90">
        <f t="shared" si="3"/>
        <v>5</v>
      </c>
      <c r="V14" s="90">
        <v>6</v>
      </c>
      <c r="W14" s="90">
        <v>12</v>
      </c>
      <c r="X14" s="90">
        <v>6</v>
      </c>
      <c r="Y14" s="221" t="s">
        <v>1607</v>
      </c>
      <c r="AA14" s="7" t="s">
        <v>1663</v>
      </c>
      <c r="AB14" s="6" t="str">
        <f>LOOKUP(AA2,A2:A47,R2:R47)</f>
        <v>Permanent</v>
      </c>
      <c r="AC14" s="6">
        <f>LOOKUP(AA2,A2:A47,S2:S47)</f>
        <v>0</v>
      </c>
      <c r="AD14" s="192">
        <f>IF(AB14="Instantaneous",-1,IF(AB14="Permanent",12,IF(AC14="Round",LOOKUP(AB14,AS2:AS4,AT2:AT4),IF(AC14="Minute",LOOKUP(AB14,AS5:AS9,AT5:AT9),IF(AC14="Hour",5,AV1)))))</f>
        <v>12</v>
      </c>
      <c r="AE14" s="6">
        <f>IF(AB14="Instantaneous",-1,IF(AB14="Permanent",12,IF(AC14="Round",LOOKUP(AB14,AS2:AS4,AT2:AT4),IF(AC14="Minute",LOOKUP(AB14,AS5:AS9,AT5:AT9),IF(AC14="Hour",5,AV1)))))</f>
        <v>12</v>
      </c>
      <c r="AF14" s="6"/>
      <c r="AG14" s="6"/>
      <c r="AH14" s="7"/>
      <c r="AI14" s="181">
        <v>12</v>
      </c>
      <c r="AJ14" s="77">
        <v>11</v>
      </c>
      <c r="AK14" s="182">
        <v>11</v>
      </c>
      <c r="AL14" s="181">
        <f t="shared" si="2"/>
        <v>33</v>
      </c>
      <c r="AM14" s="77">
        <v>11</v>
      </c>
      <c r="AN14" s="182">
        <v>11</v>
      </c>
      <c r="AO14" s="181">
        <v>50001</v>
      </c>
      <c r="AP14" s="77">
        <v>10</v>
      </c>
      <c r="AQ14" s="182">
        <v>10</v>
      </c>
      <c r="AR14" s="187" t="s">
        <v>1236</v>
      </c>
      <c r="AS14" s="185">
        <v>1</v>
      </c>
      <c r="AT14" s="185">
        <v>9</v>
      </c>
      <c r="AU14" s="186">
        <v>9</v>
      </c>
      <c r="AV14" s="7"/>
      <c r="AW14" s="7"/>
      <c r="AX14" s="7"/>
      <c r="AY14" s="7"/>
    </row>
    <row r="15" spans="1:51">
      <c r="A15" t="s">
        <v>1739</v>
      </c>
      <c r="B15" t="s">
        <v>1740</v>
      </c>
      <c r="C15">
        <v>1</v>
      </c>
      <c r="D15" t="s">
        <v>1706</v>
      </c>
      <c r="E15" t="s">
        <v>1384</v>
      </c>
      <c r="F15" t="s">
        <v>1444</v>
      </c>
      <c r="I15" s="90">
        <v>0</v>
      </c>
      <c r="J15" s="90" t="s">
        <v>1876</v>
      </c>
      <c r="K15" s="90" t="s">
        <v>1361</v>
      </c>
      <c r="L15" s="90" t="s">
        <v>1876</v>
      </c>
      <c r="M15" s="90" t="s">
        <v>1361</v>
      </c>
      <c r="N15" s="90">
        <v>1</v>
      </c>
      <c r="O15" s="90">
        <v>0</v>
      </c>
      <c r="P15" s="90" t="s">
        <v>2104</v>
      </c>
      <c r="Q15" s="90" t="str">
        <f t="shared" si="1"/>
        <v>Touch</v>
      </c>
      <c r="R15" s="90">
        <v>1</v>
      </c>
      <c r="S15" s="90" t="s">
        <v>1614</v>
      </c>
      <c r="T15" s="90">
        <v>1</v>
      </c>
      <c r="U15" s="90">
        <f t="shared" si="3"/>
        <v>2</v>
      </c>
      <c r="V15" s="90">
        <v>3</v>
      </c>
      <c r="W15" s="90">
        <v>5</v>
      </c>
      <c r="X15" s="90">
        <v>2</v>
      </c>
      <c r="Y15" s="221" t="s">
        <v>1585</v>
      </c>
      <c r="AA15" s="174" t="s">
        <v>1389</v>
      </c>
      <c r="AB15" s="188">
        <f>LOOKUP(AA2,A2:A47,T2:T47)</f>
        <v>1</v>
      </c>
      <c r="AC15" s="188" t="s">
        <v>1668</v>
      </c>
      <c r="AD15" s="188">
        <f>AB15</f>
        <v>1</v>
      </c>
      <c r="AE15" s="189">
        <f>AB15</f>
        <v>1</v>
      </c>
      <c r="AF15" s="190"/>
      <c r="AG15" s="190"/>
      <c r="AH15" s="7"/>
      <c r="AI15" s="181">
        <v>13</v>
      </c>
      <c r="AJ15" s="77">
        <v>12</v>
      </c>
      <c r="AK15" s="182">
        <v>12</v>
      </c>
      <c r="AL15" s="181">
        <f t="shared" si="2"/>
        <v>36</v>
      </c>
      <c r="AM15" s="77">
        <v>12</v>
      </c>
      <c r="AN15" s="182">
        <v>12</v>
      </c>
      <c r="AO15" s="181">
        <v>100001</v>
      </c>
      <c r="AP15" s="77">
        <v>11</v>
      </c>
      <c r="AQ15" s="182">
        <v>11</v>
      </c>
      <c r="AR15" s="176" t="s">
        <v>1237</v>
      </c>
      <c r="AS15" s="177">
        <v>1</v>
      </c>
      <c r="AT15" s="177">
        <v>12</v>
      </c>
      <c r="AU15" s="178">
        <v>12</v>
      </c>
      <c r="AV15" s="7"/>
      <c r="AW15" s="7"/>
      <c r="AX15" s="7"/>
      <c r="AY15" s="7"/>
    </row>
    <row r="16" spans="1:51">
      <c r="A16" t="s">
        <v>2314</v>
      </c>
      <c r="B16" t="s">
        <v>2074</v>
      </c>
      <c r="C16">
        <v>40</v>
      </c>
      <c r="D16">
        <v>20</v>
      </c>
      <c r="E16" t="s">
        <v>1975</v>
      </c>
      <c r="F16" t="s">
        <v>1304</v>
      </c>
      <c r="I16" s="90">
        <v>0</v>
      </c>
      <c r="J16" s="90" t="s">
        <v>1876</v>
      </c>
      <c r="K16" s="90" t="s">
        <v>1361</v>
      </c>
      <c r="L16" s="90" t="s">
        <v>1876</v>
      </c>
      <c r="M16" s="90" t="s">
        <v>1361</v>
      </c>
      <c r="N16" s="90">
        <v>1</v>
      </c>
      <c r="O16" s="90">
        <v>0</v>
      </c>
      <c r="P16" s="90" t="s">
        <v>1762</v>
      </c>
      <c r="Q16" s="90">
        <f t="shared" si="1"/>
        <v>20</v>
      </c>
      <c r="R16" s="90">
        <v>3</v>
      </c>
      <c r="S16" s="90" t="s">
        <v>1614</v>
      </c>
      <c r="T16" s="90">
        <v>2</v>
      </c>
      <c r="U16" s="90">
        <f t="shared" si="3"/>
        <v>5</v>
      </c>
      <c r="V16" s="90">
        <v>6</v>
      </c>
      <c r="W16" s="90">
        <v>11</v>
      </c>
      <c r="X16" s="90">
        <v>5</v>
      </c>
      <c r="Y16" s="221" t="s">
        <v>929</v>
      </c>
      <c r="AA16" s="187" t="s">
        <v>1243</v>
      </c>
      <c r="AB16" s="191">
        <f>LOOKUP(AA2,A2:A47,U2:U47)</f>
        <v>4</v>
      </c>
      <c r="AC16" s="191" t="str">
        <f>IF(SUM(AD7:AD9)&gt;0,"+"&amp;SUM(AD7:AD9),0)</f>
        <v>+1</v>
      </c>
      <c r="AD16" s="191">
        <f>AB16</f>
        <v>4</v>
      </c>
      <c r="AE16" s="184">
        <f>AB16</f>
        <v>4</v>
      </c>
      <c r="AF16" s="190"/>
      <c r="AG16" s="190"/>
      <c r="AH16" s="7"/>
      <c r="AI16" s="181">
        <v>14</v>
      </c>
      <c r="AJ16" s="77">
        <v>13</v>
      </c>
      <c r="AK16" s="182">
        <v>13</v>
      </c>
      <c r="AL16" s="181">
        <f t="shared" si="2"/>
        <v>39</v>
      </c>
      <c r="AM16" s="77">
        <v>13</v>
      </c>
      <c r="AN16" s="182">
        <v>13</v>
      </c>
      <c r="AO16" s="181">
        <v>500001</v>
      </c>
      <c r="AP16" s="77">
        <v>12</v>
      </c>
      <c r="AQ16" s="182">
        <v>12</v>
      </c>
      <c r="AR16" s="77"/>
      <c r="AS16" s="77"/>
      <c r="AT16" s="77"/>
      <c r="AU16" s="77"/>
      <c r="AV16" s="7"/>
      <c r="AW16" s="7"/>
      <c r="AX16" s="7"/>
      <c r="AY16" s="7"/>
    </row>
    <row r="17" spans="1:51">
      <c r="A17" t="s">
        <v>1962</v>
      </c>
      <c r="B17" t="s">
        <v>2074</v>
      </c>
      <c r="C17">
        <v>20</v>
      </c>
      <c r="D17">
        <v>20</v>
      </c>
      <c r="E17" t="s">
        <v>1384</v>
      </c>
      <c r="F17" t="s">
        <v>1962</v>
      </c>
      <c r="I17" s="90">
        <v>0</v>
      </c>
      <c r="J17" s="90" t="s">
        <v>1876</v>
      </c>
      <c r="K17" s="90" t="s">
        <v>1361</v>
      </c>
      <c r="L17" s="90" t="s">
        <v>1876</v>
      </c>
      <c r="M17" s="90" t="s">
        <v>1361</v>
      </c>
      <c r="N17" s="90">
        <v>1</v>
      </c>
      <c r="O17" s="90">
        <v>0</v>
      </c>
      <c r="P17" s="90" t="s">
        <v>1762</v>
      </c>
      <c r="Q17" s="90">
        <f>D17</f>
        <v>20</v>
      </c>
      <c r="R17" s="90">
        <v>1</v>
      </c>
      <c r="S17" s="90" t="s">
        <v>1915</v>
      </c>
      <c r="T17" s="90">
        <v>1</v>
      </c>
      <c r="U17" s="90">
        <f t="shared" si="3"/>
        <v>2</v>
      </c>
      <c r="V17" s="90">
        <v>3</v>
      </c>
      <c r="W17" s="90">
        <v>7</v>
      </c>
      <c r="X17" s="90">
        <v>3</v>
      </c>
      <c r="Y17" s="221" t="s">
        <v>983</v>
      </c>
      <c r="AA17" s="7" t="s">
        <v>1229</v>
      </c>
      <c r="AB17" s="6"/>
      <c r="AC17" s="6"/>
      <c r="AD17" s="6">
        <f>SUM(AD5:AD16)-SUM(AD7:AD9)</f>
        <v>23</v>
      </c>
      <c r="AE17" s="6">
        <f>SUM(AE5:AE16)</f>
        <v>22</v>
      </c>
      <c r="AF17" s="6"/>
      <c r="AG17" s="6"/>
      <c r="AH17" s="7"/>
      <c r="AI17" s="181">
        <v>15</v>
      </c>
      <c r="AJ17" s="77">
        <v>14</v>
      </c>
      <c r="AK17" s="182">
        <v>14</v>
      </c>
      <c r="AL17" s="181">
        <f t="shared" si="2"/>
        <v>42</v>
      </c>
      <c r="AM17" s="77">
        <v>14</v>
      </c>
      <c r="AN17" s="182">
        <v>14</v>
      </c>
      <c r="AO17" s="181">
        <v>1000001</v>
      </c>
      <c r="AP17" s="77">
        <v>13</v>
      </c>
      <c r="AQ17" s="182">
        <v>13</v>
      </c>
      <c r="AR17" s="77"/>
      <c r="AS17" s="77"/>
      <c r="AT17" s="77"/>
      <c r="AU17" s="77"/>
      <c r="AV17" s="7"/>
      <c r="AW17" s="7"/>
      <c r="AX17" s="7"/>
      <c r="AY17" s="7"/>
    </row>
    <row r="18" spans="1:51">
      <c r="A18" t="s">
        <v>1928</v>
      </c>
      <c r="B18" t="s">
        <v>1925</v>
      </c>
      <c r="C18">
        <v>1</v>
      </c>
      <c r="D18" t="s">
        <v>1706</v>
      </c>
      <c r="E18" t="s">
        <v>1569</v>
      </c>
      <c r="F18" t="s">
        <v>2142</v>
      </c>
      <c r="I18" s="90">
        <v>0</v>
      </c>
      <c r="J18" s="90" t="s">
        <v>1876</v>
      </c>
      <c r="K18" s="90" t="s">
        <v>1361</v>
      </c>
      <c r="L18" s="90" t="s">
        <v>1876</v>
      </c>
      <c r="M18" s="90" t="s">
        <v>1361</v>
      </c>
      <c r="N18" s="90">
        <v>1</v>
      </c>
      <c r="O18" s="90">
        <v>0</v>
      </c>
      <c r="P18" s="90" t="s">
        <v>1762</v>
      </c>
      <c r="Q18" s="90" t="str">
        <f t="shared" si="1"/>
        <v>Touch</v>
      </c>
      <c r="R18" s="90">
        <v>1</v>
      </c>
      <c r="S18" s="90" t="s">
        <v>1614</v>
      </c>
      <c r="T18" s="90">
        <v>1</v>
      </c>
      <c r="U18" s="90">
        <f t="shared" si="3"/>
        <v>3</v>
      </c>
      <c r="V18" s="90">
        <v>4</v>
      </c>
      <c r="W18" s="90">
        <v>2</v>
      </c>
      <c r="X18" s="90">
        <v>1</v>
      </c>
      <c r="Y18" s="221" t="s">
        <v>930</v>
      </c>
      <c r="AA18" s="7"/>
      <c r="AB18" s="6"/>
      <c r="AC18" s="6"/>
      <c r="AD18" s="6"/>
      <c r="AE18" s="6"/>
      <c r="AF18" s="6"/>
      <c r="AG18" s="6"/>
      <c r="AH18" s="7"/>
      <c r="AI18" s="181">
        <v>16</v>
      </c>
      <c r="AJ18" s="77">
        <v>15</v>
      </c>
      <c r="AK18" s="182">
        <v>15</v>
      </c>
      <c r="AL18" s="181">
        <f t="shared" si="2"/>
        <v>45</v>
      </c>
      <c r="AM18" s="77">
        <v>15</v>
      </c>
      <c r="AN18" s="182">
        <v>15</v>
      </c>
      <c r="AO18" s="181">
        <v>2000001</v>
      </c>
      <c r="AP18" s="77">
        <v>14</v>
      </c>
      <c r="AQ18" s="182">
        <v>14</v>
      </c>
      <c r="AR18" s="77"/>
      <c r="AS18" s="77"/>
      <c r="AT18" s="77"/>
      <c r="AU18" s="77"/>
      <c r="AV18" s="7"/>
      <c r="AW18" s="7"/>
      <c r="AX18" s="7"/>
      <c r="AY18" s="7"/>
    </row>
    <row r="19" spans="1:51">
      <c r="A19" t="s">
        <v>1924</v>
      </c>
      <c r="B19" t="s">
        <v>1925</v>
      </c>
      <c r="C19">
        <v>5</v>
      </c>
      <c r="D19" t="s">
        <v>1706</v>
      </c>
      <c r="E19" t="s">
        <v>1384</v>
      </c>
      <c r="F19" t="s">
        <v>1685</v>
      </c>
      <c r="I19" s="90">
        <v>0</v>
      </c>
      <c r="J19" s="90" t="s">
        <v>1876</v>
      </c>
      <c r="K19" s="90" t="s">
        <v>1361</v>
      </c>
      <c r="L19" s="90" t="s">
        <v>1876</v>
      </c>
      <c r="M19" s="90" t="s">
        <v>1361</v>
      </c>
      <c r="N19" s="90">
        <v>1</v>
      </c>
      <c r="O19" s="90">
        <v>0</v>
      </c>
      <c r="P19" s="90" t="s">
        <v>1762</v>
      </c>
      <c r="Q19" s="90" t="str">
        <f t="shared" si="1"/>
        <v>Touch</v>
      </c>
      <c r="R19" s="90">
        <v>1</v>
      </c>
      <c r="S19" s="90" t="s">
        <v>1614</v>
      </c>
      <c r="T19" s="90">
        <v>1</v>
      </c>
      <c r="U19" s="90">
        <f t="shared" si="3"/>
        <v>2</v>
      </c>
      <c r="V19" s="90">
        <v>3</v>
      </c>
      <c r="W19" s="90">
        <v>1</v>
      </c>
      <c r="X19" s="90">
        <v>0</v>
      </c>
      <c r="Y19" s="221" t="s">
        <v>1685</v>
      </c>
      <c r="AA19" s="7" t="s">
        <v>1243</v>
      </c>
      <c r="AB19" s="193">
        <f>AB16+AC16</f>
        <v>5</v>
      </c>
      <c r="AC19" s="6"/>
      <c r="AD19" s="6"/>
      <c r="AE19" s="6"/>
      <c r="AF19" s="6"/>
      <c r="AG19" s="6"/>
      <c r="AH19" s="7"/>
      <c r="AI19" s="181">
        <v>17</v>
      </c>
      <c r="AJ19" s="77">
        <v>16</v>
      </c>
      <c r="AK19" s="182">
        <v>16</v>
      </c>
      <c r="AL19" s="181">
        <f t="shared" si="2"/>
        <v>48</v>
      </c>
      <c r="AM19" s="77">
        <v>16</v>
      </c>
      <c r="AN19" s="182">
        <v>16</v>
      </c>
      <c r="AO19" s="181">
        <v>3000001</v>
      </c>
      <c r="AP19" s="77">
        <v>15</v>
      </c>
      <c r="AQ19" s="182">
        <v>15</v>
      </c>
      <c r="AR19" s="77"/>
      <c r="AS19" s="77"/>
      <c r="AT19" s="77"/>
      <c r="AU19" s="77"/>
      <c r="AV19" s="7"/>
      <c r="AW19" s="7"/>
      <c r="AX19" s="7"/>
      <c r="AY19" s="7"/>
    </row>
    <row r="20" spans="1:51">
      <c r="A20" t="s">
        <v>2187</v>
      </c>
      <c r="B20" t="s">
        <v>2186</v>
      </c>
      <c r="C20">
        <v>10</v>
      </c>
      <c r="D20">
        <v>40</v>
      </c>
      <c r="E20" t="s">
        <v>1384</v>
      </c>
      <c r="F20" t="s">
        <v>2157</v>
      </c>
      <c r="I20" s="90">
        <v>0</v>
      </c>
      <c r="J20" s="90" t="s">
        <v>1876</v>
      </c>
      <c r="K20" s="90" t="s">
        <v>1361</v>
      </c>
      <c r="L20" s="90" t="s">
        <v>1876</v>
      </c>
      <c r="M20" s="90" t="s">
        <v>1361</v>
      </c>
      <c r="N20" s="90">
        <v>1</v>
      </c>
      <c r="O20" s="90">
        <v>0</v>
      </c>
      <c r="P20" s="90" t="s">
        <v>1762</v>
      </c>
      <c r="Q20" s="90">
        <f t="shared" si="1"/>
        <v>40</v>
      </c>
      <c r="R20" s="90">
        <v>1</v>
      </c>
      <c r="S20" s="90" t="s">
        <v>1614</v>
      </c>
      <c r="T20" s="90">
        <v>6</v>
      </c>
      <c r="U20" s="90">
        <f t="shared" si="3"/>
        <v>2</v>
      </c>
      <c r="V20" s="90">
        <v>3</v>
      </c>
      <c r="W20" s="90">
        <v>11</v>
      </c>
      <c r="X20" s="90">
        <v>5</v>
      </c>
      <c r="Y20" s="221" t="s">
        <v>1056</v>
      </c>
      <c r="AA20" s="7" t="s">
        <v>1238</v>
      </c>
      <c r="AB20" s="193">
        <f>AD17</f>
        <v>23</v>
      </c>
      <c r="AC20" s="6"/>
      <c r="AD20" s="6"/>
      <c r="AE20" s="6"/>
      <c r="AF20" s="6"/>
      <c r="AG20" s="6"/>
      <c r="AH20" s="7"/>
      <c r="AI20" s="181">
        <v>18</v>
      </c>
      <c r="AJ20" s="77">
        <v>17</v>
      </c>
      <c r="AK20" s="182">
        <v>17</v>
      </c>
      <c r="AL20" s="181">
        <f t="shared" si="2"/>
        <v>51</v>
      </c>
      <c r="AM20" s="77">
        <v>17</v>
      </c>
      <c r="AN20" s="182">
        <v>17</v>
      </c>
      <c r="AO20" s="181">
        <v>4000001</v>
      </c>
      <c r="AP20" s="77">
        <v>16</v>
      </c>
      <c r="AQ20" s="182">
        <v>16</v>
      </c>
      <c r="AR20" s="77"/>
      <c r="AS20" s="77"/>
      <c r="AT20" s="77"/>
      <c r="AU20" s="77"/>
      <c r="AV20" s="7"/>
      <c r="AW20" s="7"/>
      <c r="AX20" s="7"/>
      <c r="AY20" s="7"/>
    </row>
    <row r="21" spans="1:51">
      <c r="A21" t="s">
        <v>1920</v>
      </c>
      <c r="B21" t="s">
        <v>1912</v>
      </c>
      <c r="C21">
        <v>20</v>
      </c>
      <c r="D21">
        <v>20</v>
      </c>
      <c r="E21" t="s">
        <v>1569</v>
      </c>
      <c r="F21" t="s">
        <v>1427</v>
      </c>
      <c r="I21" s="90">
        <v>0</v>
      </c>
      <c r="J21" s="90" t="s">
        <v>1876</v>
      </c>
      <c r="K21" s="90" t="s">
        <v>1361</v>
      </c>
      <c r="L21" s="90" t="s">
        <v>1876</v>
      </c>
      <c r="M21" s="90" t="s">
        <v>1361</v>
      </c>
      <c r="N21" s="90">
        <v>1</v>
      </c>
      <c r="O21" s="90">
        <v>0</v>
      </c>
      <c r="P21" s="90" t="s">
        <v>1762</v>
      </c>
      <c r="Q21" s="90">
        <f t="shared" si="1"/>
        <v>20</v>
      </c>
      <c r="R21" s="90" t="s">
        <v>1235</v>
      </c>
      <c r="T21" s="90">
        <v>2</v>
      </c>
      <c r="U21" s="90">
        <v>4</v>
      </c>
      <c r="V21" s="90">
        <v>5</v>
      </c>
      <c r="W21" s="90">
        <v>8</v>
      </c>
      <c r="X21" s="90">
        <v>4</v>
      </c>
      <c r="Y21" s="221" t="s">
        <v>1427</v>
      </c>
      <c r="AA21" s="7" t="s">
        <v>1791</v>
      </c>
      <c r="AB21" s="194">
        <f>AE17/2</f>
        <v>11</v>
      </c>
      <c r="AC21" s="6"/>
      <c r="AD21" s="6"/>
      <c r="AE21" s="6"/>
      <c r="AF21" s="6"/>
      <c r="AG21" s="6"/>
      <c r="AH21" s="7"/>
      <c r="AI21" s="181">
        <v>19</v>
      </c>
      <c r="AJ21" s="77">
        <v>18</v>
      </c>
      <c r="AK21" s="182">
        <v>18</v>
      </c>
      <c r="AL21" s="181">
        <f>AL20+3</f>
        <v>54</v>
      </c>
      <c r="AM21" s="77">
        <v>18</v>
      </c>
      <c r="AN21" s="182">
        <v>18</v>
      </c>
      <c r="AO21" s="181">
        <v>5000001</v>
      </c>
      <c r="AP21" s="77">
        <v>17</v>
      </c>
      <c r="AQ21" s="182">
        <v>17</v>
      </c>
      <c r="AR21" s="77"/>
      <c r="AS21" s="77"/>
      <c r="AT21" s="77"/>
      <c r="AU21" s="77"/>
      <c r="AV21" s="7"/>
      <c r="AW21" s="7"/>
      <c r="AX21" s="7"/>
      <c r="AY21" s="7"/>
    </row>
    <row r="22" spans="1:51">
      <c r="A22" t="s">
        <v>1926</v>
      </c>
      <c r="B22" t="s">
        <v>1925</v>
      </c>
      <c r="C22">
        <v>10</v>
      </c>
      <c r="D22" t="s">
        <v>1706</v>
      </c>
      <c r="E22" t="s">
        <v>1569</v>
      </c>
      <c r="F22" t="s">
        <v>1551</v>
      </c>
      <c r="I22" s="90">
        <v>0</v>
      </c>
      <c r="J22" s="90" t="s">
        <v>1876</v>
      </c>
      <c r="K22" s="90" t="s">
        <v>1361</v>
      </c>
      <c r="L22" s="90" t="s">
        <v>1876</v>
      </c>
      <c r="M22" s="90" t="s">
        <v>1361</v>
      </c>
      <c r="N22" s="90">
        <v>1</v>
      </c>
      <c r="O22" s="90">
        <v>0</v>
      </c>
      <c r="P22" s="90" t="s">
        <v>2104</v>
      </c>
      <c r="Q22" s="90" t="str">
        <f t="shared" si="1"/>
        <v>Touch</v>
      </c>
      <c r="R22" s="90">
        <v>1</v>
      </c>
      <c r="S22" s="90" t="s">
        <v>1614</v>
      </c>
      <c r="T22" s="90">
        <v>1</v>
      </c>
      <c r="U22" s="90">
        <f>IF(E22="Easy",2,IF(E22="Moderate",3,IF(E22="Hard",4,IF(E22="Very Hard",5,0))))</f>
        <v>3</v>
      </c>
      <c r="V22" s="90">
        <v>4</v>
      </c>
      <c r="W22" s="90">
        <v>6</v>
      </c>
      <c r="X22" s="90">
        <v>3</v>
      </c>
      <c r="Y22" s="221" t="s">
        <v>1057</v>
      </c>
      <c r="AA22" s="7"/>
      <c r="AB22" s="6"/>
      <c r="AC22" s="6"/>
      <c r="AD22" s="6"/>
      <c r="AE22" s="6"/>
      <c r="AF22" s="6"/>
      <c r="AG22" s="6"/>
      <c r="AH22" s="7"/>
      <c r="AI22" s="187">
        <v>20</v>
      </c>
      <c r="AJ22" s="185">
        <v>19</v>
      </c>
      <c r="AK22" s="186">
        <v>19</v>
      </c>
      <c r="AL22" s="187">
        <f>AL21+3</f>
        <v>57</v>
      </c>
      <c r="AM22" s="185">
        <v>19</v>
      </c>
      <c r="AN22" s="186">
        <v>19</v>
      </c>
      <c r="AO22" s="187">
        <v>6000001</v>
      </c>
      <c r="AP22" s="185">
        <v>18</v>
      </c>
      <c r="AQ22" s="186">
        <v>18</v>
      </c>
      <c r="AR22" s="77"/>
      <c r="AS22" s="77"/>
      <c r="AT22" s="77"/>
      <c r="AU22" s="77"/>
      <c r="AV22" s="7"/>
      <c r="AW22" s="7"/>
      <c r="AX22" s="7"/>
      <c r="AY22" s="7"/>
    </row>
    <row r="23" spans="1:51">
      <c r="A23" t="s">
        <v>1741</v>
      </c>
      <c r="B23" t="s">
        <v>1740</v>
      </c>
      <c r="C23">
        <v>10</v>
      </c>
      <c r="D23" t="s">
        <v>1706</v>
      </c>
      <c r="E23" t="s">
        <v>1569</v>
      </c>
      <c r="F23" t="s">
        <v>1601</v>
      </c>
      <c r="I23" s="90">
        <v>0</v>
      </c>
      <c r="J23" s="90" t="s">
        <v>1876</v>
      </c>
      <c r="K23" s="90" t="s">
        <v>1361</v>
      </c>
      <c r="L23" s="90" t="s">
        <v>1876</v>
      </c>
      <c r="M23" s="90" t="s">
        <v>1361</v>
      </c>
      <c r="N23" s="90">
        <v>1</v>
      </c>
      <c r="O23" s="90">
        <v>0</v>
      </c>
      <c r="P23" s="90" t="s">
        <v>2104</v>
      </c>
      <c r="Q23" s="90" t="str">
        <f t="shared" si="1"/>
        <v>Touch</v>
      </c>
      <c r="R23" s="90">
        <v>2</v>
      </c>
      <c r="S23" s="90" t="s">
        <v>1614</v>
      </c>
      <c r="T23" s="90">
        <v>1</v>
      </c>
      <c r="U23" s="90">
        <f>IF(E23="Easy",2,IF(E23="Moderate",3,IF(E23="Hard",4,IF(E23="Very Hard",5,0))))</f>
        <v>3</v>
      </c>
      <c r="V23" s="90">
        <v>4</v>
      </c>
      <c r="W23" s="90">
        <v>7</v>
      </c>
      <c r="X23" s="90">
        <v>3</v>
      </c>
      <c r="Y23" s="221" t="s">
        <v>1601</v>
      </c>
      <c r="AA23" s="7"/>
      <c r="AB23" s="6"/>
      <c r="AC23" s="6"/>
      <c r="AD23" s="6"/>
      <c r="AE23" s="6"/>
      <c r="AF23" s="6"/>
      <c r="AG23" s="6"/>
      <c r="AH23" s="7"/>
      <c r="AI23" s="7"/>
      <c r="AJ23" s="7"/>
      <c r="AK23" s="7"/>
      <c r="AL23" s="7"/>
      <c r="AM23" s="7"/>
      <c r="AN23" s="7"/>
      <c r="AO23" s="7"/>
      <c r="AP23" s="7"/>
      <c r="AQ23" s="7"/>
      <c r="AR23" s="77"/>
      <c r="AS23" s="77"/>
      <c r="AT23" s="77"/>
      <c r="AU23" s="77"/>
      <c r="AV23" s="7"/>
      <c r="AW23" s="7"/>
      <c r="AX23" s="7"/>
      <c r="AY23" s="7"/>
    </row>
    <row r="24" spans="1:51">
      <c r="A24" t="s">
        <v>1742</v>
      </c>
      <c r="B24" t="s">
        <v>1740</v>
      </c>
      <c r="C24">
        <v>20</v>
      </c>
      <c r="D24" t="s">
        <v>1706</v>
      </c>
      <c r="E24" t="s">
        <v>1546</v>
      </c>
      <c r="F24" t="s">
        <v>1334</v>
      </c>
      <c r="I24" s="90">
        <v>0</v>
      </c>
      <c r="J24" s="90" t="s">
        <v>1876</v>
      </c>
      <c r="K24" s="90" t="s">
        <v>1361</v>
      </c>
      <c r="L24" s="90" t="s">
        <v>1876</v>
      </c>
      <c r="M24" s="90" t="s">
        <v>1361</v>
      </c>
      <c r="N24" s="90">
        <v>1</v>
      </c>
      <c r="O24" s="90">
        <v>0</v>
      </c>
      <c r="P24" s="90" t="s">
        <v>2104</v>
      </c>
      <c r="Q24" s="90" t="str">
        <f t="shared" si="1"/>
        <v>Touch</v>
      </c>
      <c r="R24" s="90">
        <v>2</v>
      </c>
      <c r="S24" s="90" t="s">
        <v>1614</v>
      </c>
      <c r="T24" s="90">
        <v>1</v>
      </c>
      <c r="U24" s="90">
        <f>IF(E24="Easy",2,IF(E24="Moderate",3,IF(E24="Hard",4,IF(E24="Very Hard",5,0))))</f>
        <v>4</v>
      </c>
      <c r="V24" s="90">
        <v>5</v>
      </c>
      <c r="W24" s="90">
        <v>8</v>
      </c>
      <c r="X24" s="90">
        <v>4</v>
      </c>
      <c r="Y24" s="221" t="s">
        <v>1334</v>
      </c>
      <c r="AA24" s="7"/>
      <c r="AB24" s="6"/>
      <c r="AC24" s="6"/>
      <c r="AD24" s="6"/>
      <c r="AE24" s="6"/>
      <c r="AF24" s="6"/>
      <c r="AG24" s="6"/>
      <c r="AH24" s="7"/>
      <c r="AI24" s="7"/>
      <c r="AJ24" s="7"/>
      <c r="AK24" s="7"/>
      <c r="AL24" s="7"/>
      <c r="AM24" s="7"/>
      <c r="AN24" s="7"/>
      <c r="AO24" s="7"/>
      <c r="AP24" s="7"/>
      <c r="AQ24" s="7"/>
      <c r="AR24" s="7"/>
      <c r="AS24" s="7"/>
      <c r="AT24" s="77"/>
      <c r="AU24" s="77"/>
      <c r="AV24" s="7"/>
      <c r="AW24" s="7"/>
      <c r="AX24" s="7"/>
      <c r="AY24" s="7"/>
    </row>
    <row r="25" spans="1:51">
      <c r="A25" t="s">
        <v>2097</v>
      </c>
      <c r="B25" t="s">
        <v>2075</v>
      </c>
      <c r="C25">
        <v>20</v>
      </c>
      <c r="D25" t="s">
        <v>1706</v>
      </c>
      <c r="E25" t="s">
        <v>1569</v>
      </c>
      <c r="F25" t="s">
        <v>2451</v>
      </c>
      <c r="I25" s="90">
        <v>0</v>
      </c>
      <c r="J25" s="90" t="s">
        <v>1876</v>
      </c>
      <c r="K25" s="90" t="s">
        <v>1361</v>
      </c>
      <c r="L25" s="90" t="s">
        <v>1876</v>
      </c>
      <c r="M25" s="90" t="s">
        <v>1361</v>
      </c>
      <c r="N25" s="90">
        <v>1</v>
      </c>
      <c r="O25" s="90">
        <v>0</v>
      </c>
      <c r="P25" s="90" t="s">
        <v>2104</v>
      </c>
      <c r="Q25" s="90" t="str">
        <f t="shared" si="1"/>
        <v>Touch</v>
      </c>
      <c r="R25" s="90">
        <v>2</v>
      </c>
      <c r="S25" s="90" t="s">
        <v>1614</v>
      </c>
      <c r="T25" s="90">
        <v>2</v>
      </c>
      <c r="U25" s="90">
        <f>IF(E25="Easy",2,IF(E25="Moderate",3,IF(E25="Hard",4,IF(E25="Very Hard",5,0))))</f>
        <v>3</v>
      </c>
      <c r="V25" s="90">
        <v>4</v>
      </c>
      <c r="W25" s="90">
        <v>8</v>
      </c>
      <c r="X25" s="90">
        <v>4</v>
      </c>
      <c r="Y25" s="221" t="s">
        <v>910</v>
      </c>
      <c r="AA25" s="77" t="s">
        <v>1403</v>
      </c>
      <c r="AB25" s="195" t="s">
        <v>1759</v>
      </c>
      <c r="AC25" s="6"/>
      <c r="AD25" s="6"/>
      <c r="AE25" s="6"/>
      <c r="AF25" s="6"/>
      <c r="AG25" s="6"/>
      <c r="AH25" s="7"/>
      <c r="AI25" s="7"/>
      <c r="AJ25" s="7"/>
      <c r="AK25" s="7"/>
      <c r="AL25" s="7"/>
      <c r="AM25" s="7"/>
      <c r="AN25" s="7"/>
      <c r="AO25" s="7"/>
      <c r="AP25" s="7"/>
      <c r="AQ25" s="7"/>
      <c r="AR25" s="7"/>
      <c r="AS25" s="7"/>
      <c r="AT25" s="77"/>
      <c r="AU25" s="77"/>
      <c r="AV25" s="7"/>
      <c r="AW25" s="7"/>
      <c r="AX25" s="7"/>
      <c r="AY25" s="7"/>
    </row>
    <row r="26" spans="1:51">
      <c r="A26" t="s">
        <v>2069</v>
      </c>
      <c r="B26" t="s">
        <v>1912</v>
      </c>
      <c r="C26">
        <v>10</v>
      </c>
      <c r="D26">
        <v>40</v>
      </c>
      <c r="E26" t="s">
        <v>1384</v>
      </c>
      <c r="F26" t="s">
        <v>1426</v>
      </c>
      <c r="I26" s="90">
        <v>0</v>
      </c>
      <c r="J26" s="90" t="s">
        <v>1876</v>
      </c>
      <c r="K26" s="90" t="s">
        <v>1361</v>
      </c>
      <c r="L26" s="90" t="s">
        <v>1876</v>
      </c>
      <c r="M26" s="90" t="s">
        <v>1361</v>
      </c>
      <c r="N26" s="90">
        <v>1</v>
      </c>
      <c r="O26" s="90">
        <v>0</v>
      </c>
      <c r="P26" s="90" t="s">
        <v>1762</v>
      </c>
      <c r="Q26" s="90">
        <f t="shared" si="1"/>
        <v>40</v>
      </c>
      <c r="R26" s="90" t="s">
        <v>1235</v>
      </c>
      <c r="T26" s="90">
        <v>2</v>
      </c>
      <c r="U26" s="90">
        <v>4</v>
      </c>
      <c r="V26" s="90">
        <v>5</v>
      </c>
      <c r="W26" s="90">
        <v>8</v>
      </c>
      <c r="X26" s="90">
        <v>4</v>
      </c>
      <c r="Y26" s="221" t="s">
        <v>1028</v>
      </c>
      <c r="AA26" s="77" t="s">
        <v>1777</v>
      </c>
      <c r="AB26" s="195" t="s">
        <v>1922</v>
      </c>
      <c r="AC26" s="6"/>
      <c r="AD26" s="6"/>
      <c r="AE26" s="6"/>
      <c r="AF26" s="6"/>
      <c r="AG26" s="6"/>
      <c r="AH26" s="7"/>
      <c r="AI26" s="7"/>
      <c r="AJ26" s="7"/>
      <c r="AK26" s="7"/>
      <c r="AL26" s="7"/>
      <c r="AM26" s="7"/>
      <c r="AN26" s="7"/>
      <c r="AO26" s="7"/>
      <c r="AP26" s="7"/>
      <c r="AQ26" s="7"/>
      <c r="AR26" s="7"/>
      <c r="AS26" s="7"/>
      <c r="AT26" s="7"/>
      <c r="AU26" s="7"/>
      <c r="AV26" s="7"/>
      <c r="AW26" s="7"/>
      <c r="AX26" s="7"/>
      <c r="AY26" s="7"/>
    </row>
    <row r="27" spans="1:51">
      <c r="A27" t="s">
        <v>1921</v>
      </c>
      <c r="B27" t="s">
        <v>1912</v>
      </c>
      <c r="C27">
        <v>40</v>
      </c>
      <c r="D27">
        <v>20</v>
      </c>
      <c r="E27" t="s">
        <v>1546</v>
      </c>
      <c r="F27" t="s">
        <v>1995</v>
      </c>
      <c r="I27" s="90">
        <v>0</v>
      </c>
      <c r="J27" s="90" t="s">
        <v>1876</v>
      </c>
      <c r="K27" s="90" t="s">
        <v>1361</v>
      </c>
      <c r="L27" s="90" t="s">
        <v>1876</v>
      </c>
      <c r="M27" s="90" t="s">
        <v>1361</v>
      </c>
      <c r="N27" s="90">
        <v>1</v>
      </c>
      <c r="O27" s="90">
        <v>0</v>
      </c>
      <c r="P27" s="90" t="s">
        <v>1762</v>
      </c>
      <c r="Q27" s="90">
        <f t="shared" si="1"/>
        <v>20</v>
      </c>
      <c r="R27" s="90" t="s">
        <v>1235</v>
      </c>
      <c r="T27" s="90">
        <v>2</v>
      </c>
      <c r="U27" s="90">
        <v>6</v>
      </c>
      <c r="V27" s="90">
        <v>7</v>
      </c>
      <c r="W27" s="90">
        <v>10</v>
      </c>
      <c r="X27" s="90">
        <v>5</v>
      </c>
      <c r="Y27" s="221" t="s">
        <v>1995</v>
      </c>
      <c r="AA27" s="77" t="s">
        <v>1796</v>
      </c>
      <c r="AB27" s="195" t="s">
        <v>1923</v>
      </c>
      <c r="AC27" s="6"/>
      <c r="AD27" s="6"/>
      <c r="AE27" s="6"/>
      <c r="AF27" s="6"/>
      <c r="AG27" s="6"/>
      <c r="AH27" s="7"/>
      <c r="AI27" s="7"/>
      <c r="AJ27" s="7"/>
      <c r="AK27" s="7"/>
      <c r="AL27" s="7"/>
      <c r="AM27" s="7"/>
      <c r="AN27" s="7"/>
      <c r="AO27" s="7"/>
      <c r="AP27" s="7"/>
      <c r="AQ27" s="7"/>
      <c r="AR27" s="7"/>
      <c r="AS27" s="7"/>
      <c r="AT27" s="7"/>
      <c r="AU27" s="7"/>
      <c r="AV27" s="7"/>
      <c r="AW27" s="7"/>
      <c r="AX27" s="7"/>
      <c r="AY27" s="7"/>
    </row>
    <row r="28" spans="1:51">
      <c r="A28" t="s">
        <v>1927</v>
      </c>
      <c r="B28" t="s">
        <v>1925</v>
      </c>
      <c r="C28">
        <v>1</v>
      </c>
      <c r="D28" t="s">
        <v>1706</v>
      </c>
      <c r="E28" t="s">
        <v>1569</v>
      </c>
      <c r="F28" t="s">
        <v>1552</v>
      </c>
      <c r="I28" s="90">
        <v>0</v>
      </c>
      <c r="J28" s="90" t="s">
        <v>1876</v>
      </c>
      <c r="K28" s="90" t="s">
        <v>1361</v>
      </c>
      <c r="L28" s="90" t="s">
        <v>1876</v>
      </c>
      <c r="M28" s="90" t="s">
        <v>1361</v>
      </c>
      <c r="N28" s="90">
        <v>1</v>
      </c>
      <c r="O28" s="90">
        <v>0</v>
      </c>
      <c r="P28" s="90" t="s">
        <v>2104</v>
      </c>
      <c r="Q28" s="90" t="str">
        <f t="shared" si="1"/>
        <v>Touch</v>
      </c>
      <c r="R28" s="90">
        <v>2</v>
      </c>
      <c r="S28" s="90" t="s">
        <v>1614</v>
      </c>
      <c r="T28" s="90">
        <v>1</v>
      </c>
      <c r="U28" s="90">
        <f>IF(E28="Easy",2,IF(E28="Moderate",3,IF(E28="Hard",4,IF(E28="Very Hard",5,0))))</f>
        <v>3</v>
      </c>
      <c r="V28" s="90">
        <v>4</v>
      </c>
      <c r="W28" s="90">
        <v>7</v>
      </c>
      <c r="X28" s="90">
        <v>3</v>
      </c>
      <c r="Y28" s="221" t="s">
        <v>1552</v>
      </c>
      <c r="AA28" s="77" t="s">
        <v>1525</v>
      </c>
      <c r="AB28" s="195" t="s">
        <v>1923</v>
      </c>
      <c r="AC28" s="6"/>
      <c r="AD28" s="6"/>
      <c r="AE28" s="6"/>
      <c r="AF28" s="6"/>
      <c r="AG28" s="6"/>
      <c r="AH28" s="7"/>
      <c r="AI28" s="7"/>
      <c r="AJ28" s="7"/>
      <c r="AK28" s="7"/>
      <c r="AL28" s="7"/>
      <c r="AM28" s="7"/>
      <c r="AN28" s="7"/>
      <c r="AO28" s="7"/>
      <c r="AP28" s="7"/>
      <c r="AQ28" s="7"/>
      <c r="AR28" s="7"/>
      <c r="AS28" s="7"/>
      <c r="AT28" s="7"/>
      <c r="AU28" s="7"/>
      <c r="AV28" s="7"/>
      <c r="AW28" s="7"/>
      <c r="AX28" s="7"/>
      <c r="AY28" s="7"/>
    </row>
    <row r="29" spans="1:51">
      <c r="A29" t="s">
        <v>2023</v>
      </c>
      <c r="B29" t="s">
        <v>2186</v>
      </c>
      <c r="C29">
        <v>1</v>
      </c>
      <c r="D29">
        <v>40</v>
      </c>
      <c r="E29" t="s">
        <v>1384</v>
      </c>
      <c r="F29" t="s">
        <v>2367</v>
      </c>
      <c r="I29" s="90">
        <v>0</v>
      </c>
      <c r="J29" s="90" t="s">
        <v>1876</v>
      </c>
      <c r="K29" s="90" t="s">
        <v>1361</v>
      </c>
      <c r="L29" s="90" t="s">
        <v>1876</v>
      </c>
      <c r="M29" s="90" t="s">
        <v>1361</v>
      </c>
      <c r="N29" s="90">
        <v>1</v>
      </c>
      <c r="O29" s="90">
        <v>0</v>
      </c>
      <c r="P29" s="90" t="s">
        <v>1762</v>
      </c>
      <c r="Q29" s="90">
        <f t="shared" si="1"/>
        <v>40</v>
      </c>
      <c r="R29" s="90">
        <v>1</v>
      </c>
      <c r="S29" s="90" t="s">
        <v>1727</v>
      </c>
      <c r="T29" s="90">
        <v>2</v>
      </c>
      <c r="U29" s="90">
        <f>IF(E29="Easy",2,IF(E29="Moderate",3,IF(E29="Hard",4,IF(E29="Very Hard",5,0))))</f>
        <v>2</v>
      </c>
      <c r="V29" s="90">
        <v>3</v>
      </c>
      <c r="W29" s="90">
        <v>12</v>
      </c>
      <c r="X29" s="90">
        <v>6</v>
      </c>
      <c r="Y29" s="221" t="s">
        <v>1029</v>
      </c>
      <c r="AA29" s="77" t="s">
        <v>1382</v>
      </c>
      <c r="AB29" s="195" t="s">
        <v>1923</v>
      </c>
      <c r="AC29" s="6"/>
      <c r="AD29" s="6"/>
      <c r="AE29" s="6"/>
      <c r="AF29" s="6"/>
      <c r="AG29" s="6"/>
      <c r="AH29" s="7"/>
      <c r="AI29" s="7"/>
      <c r="AJ29" s="7"/>
      <c r="AK29" s="7"/>
      <c r="AL29" s="7"/>
      <c r="AM29" s="7"/>
      <c r="AN29" s="7"/>
      <c r="AO29" s="7"/>
      <c r="AP29" s="7"/>
      <c r="AQ29" s="7"/>
      <c r="AR29" s="7"/>
      <c r="AS29" s="7"/>
      <c r="AT29" s="7"/>
      <c r="AU29" s="7"/>
      <c r="AV29" s="7"/>
      <c r="AW29" s="7"/>
      <c r="AX29" s="7"/>
      <c r="AY29" s="7"/>
    </row>
    <row r="30" spans="1:51">
      <c r="A30" t="s">
        <v>1911</v>
      </c>
      <c r="B30" t="s">
        <v>1912</v>
      </c>
      <c r="C30">
        <v>50</v>
      </c>
      <c r="D30">
        <v>10</v>
      </c>
      <c r="E30" t="s">
        <v>1975</v>
      </c>
      <c r="F30" t="s">
        <v>1565</v>
      </c>
      <c r="I30" s="90">
        <v>0</v>
      </c>
      <c r="J30" s="90" t="s">
        <v>1876</v>
      </c>
      <c r="K30" s="90" t="s">
        <v>1361</v>
      </c>
      <c r="L30" s="90" t="s">
        <v>1876</v>
      </c>
      <c r="M30" s="90" t="s">
        <v>1361</v>
      </c>
      <c r="N30" s="90">
        <v>1</v>
      </c>
      <c r="O30" s="90">
        <v>0</v>
      </c>
      <c r="P30" s="90" t="s">
        <v>1762</v>
      </c>
      <c r="Q30" s="90">
        <f t="shared" si="1"/>
        <v>10</v>
      </c>
      <c r="R30" s="90" t="s">
        <v>1235</v>
      </c>
      <c r="T30" s="90">
        <v>2</v>
      </c>
      <c r="U30" s="90">
        <v>7</v>
      </c>
      <c r="V30" s="90">
        <v>8</v>
      </c>
      <c r="W30" s="90">
        <v>10</v>
      </c>
      <c r="X30" s="90">
        <v>5</v>
      </c>
      <c r="Y30" s="221" t="s">
        <v>1565</v>
      </c>
      <c r="AA30" s="77" t="s">
        <v>1797</v>
      </c>
      <c r="AB30" s="195" t="s">
        <v>1890</v>
      </c>
      <c r="AC30" s="6"/>
      <c r="AD30" s="6"/>
      <c r="AE30" s="6"/>
      <c r="AF30" s="6"/>
      <c r="AG30" s="6"/>
      <c r="AH30" s="7"/>
      <c r="AI30" s="7"/>
      <c r="AJ30" s="7"/>
      <c r="AK30" s="7"/>
      <c r="AL30" s="7"/>
      <c r="AM30" s="7"/>
      <c r="AN30" s="7"/>
      <c r="AO30" s="7"/>
      <c r="AP30" s="7"/>
      <c r="AQ30" s="7"/>
      <c r="AR30" s="7"/>
      <c r="AS30" s="7"/>
      <c r="AT30" s="7"/>
      <c r="AU30" s="7"/>
      <c r="AV30" s="7"/>
      <c r="AW30" s="7"/>
      <c r="AX30" s="7"/>
      <c r="AY30" s="7"/>
    </row>
    <row r="31" spans="1:51">
      <c r="A31" t="s">
        <v>1930</v>
      </c>
      <c r="B31" t="s">
        <v>2075</v>
      </c>
      <c r="C31">
        <v>3</v>
      </c>
      <c r="D31">
        <v>10</v>
      </c>
      <c r="E31" t="s">
        <v>1546</v>
      </c>
      <c r="F31" t="s">
        <v>1841</v>
      </c>
      <c r="I31" s="90">
        <v>0</v>
      </c>
      <c r="J31" s="90" t="s">
        <v>1876</v>
      </c>
      <c r="K31" s="90" t="s">
        <v>1361</v>
      </c>
      <c r="L31" s="90" t="s">
        <v>1876</v>
      </c>
      <c r="M31" s="90" t="s">
        <v>1361</v>
      </c>
      <c r="N31" s="90">
        <v>1</v>
      </c>
      <c r="O31" s="90">
        <v>0</v>
      </c>
      <c r="P31" s="90" t="s">
        <v>1762</v>
      </c>
      <c r="Q31" s="90">
        <f t="shared" si="1"/>
        <v>10</v>
      </c>
      <c r="R31" s="90">
        <v>1</v>
      </c>
      <c r="S31" s="90" t="s">
        <v>1614</v>
      </c>
      <c r="T31" s="90">
        <v>2</v>
      </c>
      <c r="U31" s="90">
        <f>IF(E31="Easy",2,IF(E31="Moderate",3,IF(E31="Hard",4,IF(E31="Very Hard",5,0))))</f>
        <v>4</v>
      </c>
      <c r="V31" s="90">
        <v>5</v>
      </c>
      <c r="W31" s="90">
        <v>8</v>
      </c>
      <c r="X31" s="90">
        <v>4</v>
      </c>
      <c r="Y31" s="221" t="s">
        <v>651</v>
      </c>
      <c r="AA31" s="77" t="s">
        <v>1798</v>
      </c>
      <c r="AB31" s="195" t="s">
        <v>1747</v>
      </c>
      <c r="AC31" s="6"/>
      <c r="AD31" s="6"/>
      <c r="AE31" s="6"/>
      <c r="AF31" s="6"/>
      <c r="AG31" s="6"/>
      <c r="AH31" s="7"/>
      <c r="AI31" s="7"/>
      <c r="AJ31" s="7"/>
      <c r="AK31" s="7"/>
      <c r="AL31" s="7"/>
      <c r="AM31" s="7"/>
      <c r="AN31" s="7"/>
      <c r="AO31" s="7"/>
      <c r="AP31" s="7"/>
      <c r="AQ31" s="7"/>
      <c r="AR31" s="7"/>
      <c r="AS31" s="7"/>
      <c r="AT31" s="7"/>
      <c r="AU31" s="7"/>
      <c r="AV31" s="7"/>
      <c r="AW31" s="7"/>
      <c r="AX31" s="7"/>
      <c r="AY31" s="7"/>
    </row>
    <row r="32" spans="1:51">
      <c r="A32" t="s">
        <v>1945</v>
      </c>
      <c r="B32" t="s">
        <v>2075</v>
      </c>
      <c r="C32">
        <v>3</v>
      </c>
      <c r="D32">
        <v>10</v>
      </c>
      <c r="E32" t="s">
        <v>1569</v>
      </c>
      <c r="F32" t="s">
        <v>2110</v>
      </c>
      <c r="I32" s="90">
        <v>0</v>
      </c>
      <c r="J32" s="90" t="s">
        <v>1876</v>
      </c>
      <c r="K32" s="90" t="s">
        <v>1361</v>
      </c>
      <c r="L32" s="90" t="s">
        <v>1876</v>
      </c>
      <c r="M32" s="90" t="s">
        <v>1361</v>
      </c>
      <c r="N32" s="90">
        <v>1</v>
      </c>
      <c r="O32" s="90">
        <v>0</v>
      </c>
      <c r="P32" s="90" t="s">
        <v>1762</v>
      </c>
      <c r="Q32" s="90">
        <f t="shared" si="1"/>
        <v>10</v>
      </c>
      <c r="R32" s="90">
        <v>5</v>
      </c>
      <c r="S32" s="90" t="s">
        <v>1614</v>
      </c>
      <c r="T32" s="90">
        <v>2</v>
      </c>
      <c r="U32" s="90">
        <v>4</v>
      </c>
      <c r="V32" s="90">
        <v>5</v>
      </c>
      <c r="W32" s="90">
        <v>9</v>
      </c>
      <c r="X32" s="90">
        <v>4</v>
      </c>
      <c r="Y32" s="221" t="s">
        <v>772</v>
      </c>
      <c r="AA32" s="77" t="s">
        <v>1662</v>
      </c>
      <c r="AB32" s="195" t="s">
        <v>2058</v>
      </c>
      <c r="AC32" s="6"/>
      <c r="AD32" s="6"/>
      <c r="AE32" s="6"/>
      <c r="AF32" s="6"/>
      <c r="AG32" s="6"/>
      <c r="AH32" s="7"/>
      <c r="AI32" s="7"/>
      <c r="AJ32" s="7"/>
      <c r="AK32" s="7"/>
      <c r="AL32" s="7"/>
      <c r="AM32" s="7"/>
      <c r="AN32" s="7"/>
      <c r="AO32" s="7"/>
      <c r="AP32" s="7"/>
      <c r="AQ32" s="7"/>
      <c r="AR32" s="7"/>
      <c r="AS32" s="7"/>
      <c r="AT32" s="7"/>
      <c r="AU32" s="7"/>
      <c r="AV32" s="7"/>
      <c r="AW32" s="7"/>
      <c r="AX32" s="7"/>
      <c r="AY32" s="7"/>
    </row>
    <row r="33" spans="1:51">
      <c r="A33" t="s">
        <v>1854</v>
      </c>
      <c r="B33" t="s">
        <v>2075</v>
      </c>
      <c r="C33">
        <v>5</v>
      </c>
      <c r="D33">
        <v>10</v>
      </c>
      <c r="E33" t="s">
        <v>1569</v>
      </c>
      <c r="F33" t="s">
        <v>1591</v>
      </c>
      <c r="I33" s="90">
        <v>0</v>
      </c>
      <c r="J33" s="90" t="s">
        <v>1876</v>
      </c>
      <c r="K33" s="90" t="s">
        <v>1361</v>
      </c>
      <c r="L33" s="90" t="s">
        <v>1876</v>
      </c>
      <c r="M33" s="90" t="s">
        <v>1361</v>
      </c>
      <c r="N33" s="90">
        <v>1</v>
      </c>
      <c r="O33" s="90">
        <v>0</v>
      </c>
      <c r="P33" s="90" t="s">
        <v>1762</v>
      </c>
      <c r="Q33" s="90">
        <f t="shared" si="1"/>
        <v>10</v>
      </c>
      <c r="R33" s="90">
        <v>1</v>
      </c>
      <c r="S33" s="90" t="s">
        <v>1614</v>
      </c>
      <c r="T33" s="90">
        <v>2</v>
      </c>
      <c r="U33" s="90">
        <v>4</v>
      </c>
      <c r="V33" s="90">
        <v>5</v>
      </c>
      <c r="W33" s="90">
        <v>8</v>
      </c>
      <c r="X33" s="90">
        <v>4</v>
      </c>
      <c r="Y33" s="221" t="s">
        <v>1591</v>
      </c>
      <c r="AA33" s="77" t="s">
        <v>2370</v>
      </c>
      <c r="AB33" s="195" t="s">
        <v>2031</v>
      </c>
      <c r="AC33" s="6"/>
      <c r="AD33" s="6"/>
      <c r="AE33" s="6"/>
      <c r="AF33" s="6"/>
      <c r="AG33" s="6"/>
      <c r="AH33" s="7"/>
      <c r="AI33" s="7"/>
      <c r="AJ33" s="7"/>
      <c r="AK33" s="7"/>
      <c r="AL33" s="7"/>
      <c r="AM33" s="7"/>
      <c r="AN33" s="7"/>
      <c r="AO33" s="7"/>
      <c r="AP33" s="7"/>
      <c r="AQ33" s="7"/>
      <c r="AR33" s="7"/>
      <c r="AS33" s="7"/>
      <c r="AT33" s="7"/>
      <c r="AU33" s="7"/>
      <c r="AV33" s="7"/>
      <c r="AW33" s="7"/>
      <c r="AX33" s="7"/>
      <c r="AY33" s="7"/>
    </row>
    <row r="34" spans="1:51">
      <c r="A34" t="s">
        <v>2076</v>
      </c>
      <c r="B34" t="s">
        <v>2075</v>
      </c>
      <c r="C34">
        <v>3</v>
      </c>
      <c r="D34">
        <v>10</v>
      </c>
      <c r="E34" t="s">
        <v>1384</v>
      </c>
      <c r="F34" t="s">
        <v>1603</v>
      </c>
      <c r="I34" s="90">
        <v>0</v>
      </c>
      <c r="J34" s="90" t="s">
        <v>1876</v>
      </c>
      <c r="K34" s="90" t="s">
        <v>1361</v>
      </c>
      <c r="L34" s="90" t="s">
        <v>1876</v>
      </c>
      <c r="M34" s="90" t="s">
        <v>1361</v>
      </c>
      <c r="N34" s="90">
        <v>1</v>
      </c>
      <c r="O34" s="90">
        <v>0</v>
      </c>
      <c r="P34" s="90" t="s">
        <v>1762</v>
      </c>
      <c r="Q34" s="90">
        <f t="shared" si="1"/>
        <v>10</v>
      </c>
      <c r="R34" s="90">
        <v>5</v>
      </c>
      <c r="S34" s="90" t="s">
        <v>1614</v>
      </c>
      <c r="T34" s="90">
        <v>2</v>
      </c>
      <c r="U34" s="90">
        <f>IF(E34="Easy",2,IF(E34="Moderate",3,IF(E34="Hard",4,IF(E34="Very Hard",5,0))))</f>
        <v>2</v>
      </c>
      <c r="V34" s="90">
        <v>3</v>
      </c>
      <c r="W34" s="90">
        <v>7</v>
      </c>
      <c r="X34" s="90">
        <v>3</v>
      </c>
      <c r="Y34" s="221" t="s">
        <v>1039</v>
      </c>
      <c r="AA34" s="77" t="s">
        <v>1663</v>
      </c>
      <c r="AB34" s="195" t="s">
        <v>1992</v>
      </c>
      <c r="AC34" s="6"/>
      <c r="AD34" s="6"/>
      <c r="AE34" s="6"/>
      <c r="AF34" s="6"/>
      <c r="AG34" s="6"/>
      <c r="AH34" s="7"/>
      <c r="AI34" s="7"/>
      <c r="AJ34" s="7"/>
      <c r="AK34" s="7"/>
      <c r="AL34" s="7"/>
      <c r="AM34" s="7"/>
      <c r="AN34" s="7"/>
      <c r="AO34" s="7"/>
      <c r="AP34" s="7"/>
      <c r="AQ34" s="7"/>
      <c r="AR34" s="7"/>
      <c r="AS34" s="7"/>
      <c r="AT34" s="7"/>
      <c r="AU34" s="7"/>
      <c r="AV34" s="7"/>
      <c r="AW34" s="7"/>
      <c r="AX34" s="7"/>
      <c r="AY34" s="7"/>
    </row>
    <row r="35" spans="1:51">
      <c r="A35" t="s">
        <v>2188</v>
      </c>
      <c r="B35" t="s">
        <v>2186</v>
      </c>
      <c r="C35">
        <v>5</v>
      </c>
      <c r="D35">
        <v>20</v>
      </c>
      <c r="E35" t="s">
        <v>1569</v>
      </c>
      <c r="F35" t="s">
        <v>1988</v>
      </c>
      <c r="I35" s="90">
        <v>0</v>
      </c>
      <c r="J35" s="90" t="s">
        <v>1876</v>
      </c>
      <c r="K35" s="90" t="s">
        <v>1361</v>
      </c>
      <c r="L35" s="90" t="s">
        <v>1876</v>
      </c>
      <c r="M35" s="90" t="s">
        <v>1361</v>
      </c>
      <c r="N35" s="90">
        <v>1</v>
      </c>
      <c r="O35" s="90">
        <v>0</v>
      </c>
      <c r="P35" s="90" t="s">
        <v>1762</v>
      </c>
      <c r="Q35" s="90">
        <f t="shared" si="1"/>
        <v>20</v>
      </c>
      <c r="R35" s="90">
        <v>1</v>
      </c>
      <c r="S35" s="90" t="s">
        <v>1614</v>
      </c>
      <c r="T35" s="90">
        <v>2</v>
      </c>
      <c r="U35" s="90">
        <v>5</v>
      </c>
      <c r="V35" s="90">
        <v>6</v>
      </c>
      <c r="W35" s="90">
        <v>10</v>
      </c>
      <c r="X35" s="90">
        <v>5</v>
      </c>
      <c r="Y35" s="221" t="s">
        <v>1586</v>
      </c>
      <c r="AA35" s="77" t="s">
        <v>1389</v>
      </c>
      <c r="AB35" s="195" t="s">
        <v>2204</v>
      </c>
      <c r="AC35" s="6"/>
      <c r="AD35" s="6"/>
      <c r="AE35" s="6"/>
      <c r="AF35" s="6"/>
      <c r="AG35" s="6"/>
      <c r="AH35" s="7"/>
      <c r="AI35" s="7"/>
      <c r="AJ35" s="7"/>
      <c r="AK35" s="7"/>
      <c r="AL35" s="7"/>
      <c r="AM35" s="7"/>
      <c r="AN35" s="7"/>
      <c r="AO35" s="7"/>
      <c r="AP35" s="7"/>
      <c r="AQ35" s="7"/>
      <c r="AR35" s="7"/>
      <c r="AS35" s="7"/>
      <c r="AT35" s="7"/>
      <c r="AU35" s="7"/>
      <c r="AV35" s="7"/>
      <c r="AW35" s="7"/>
      <c r="AX35" s="7"/>
      <c r="AY35" s="7"/>
    </row>
    <row r="36" spans="1:51">
      <c r="A36" t="s">
        <v>2306</v>
      </c>
      <c r="B36" t="s">
        <v>1740</v>
      </c>
      <c r="C36">
        <v>50</v>
      </c>
      <c r="D36" t="s">
        <v>1706</v>
      </c>
      <c r="E36" t="s">
        <v>1546</v>
      </c>
      <c r="F36" t="s">
        <v>1713</v>
      </c>
      <c r="I36" s="90">
        <v>0</v>
      </c>
      <c r="J36" s="90" t="s">
        <v>1876</v>
      </c>
      <c r="K36" s="90" t="s">
        <v>1361</v>
      </c>
      <c r="L36" s="90" t="s">
        <v>1876</v>
      </c>
      <c r="M36" s="90" t="s">
        <v>1361</v>
      </c>
      <c r="N36" s="90">
        <v>1</v>
      </c>
      <c r="O36" s="90">
        <v>0</v>
      </c>
      <c r="P36" s="90" t="s">
        <v>2104</v>
      </c>
      <c r="Q36" s="90" t="str">
        <f t="shared" si="1"/>
        <v>Touch</v>
      </c>
      <c r="R36" s="90">
        <v>1</v>
      </c>
      <c r="S36" s="90" t="s">
        <v>1614</v>
      </c>
      <c r="T36" s="90">
        <v>2</v>
      </c>
      <c r="U36" s="90">
        <f>IF(E36="Easy",2,IF(E36="Moderate",3,IF(E36="Hard",4,IF(E36="Very Hard",5,0))))</f>
        <v>4</v>
      </c>
      <c r="V36" s="90">
        <v>5</v>
      </c>
      <c r="W36" s="90">
        <v>8</v>
      </c>
      <c r="X36" s="90">
        <v>4</v>
      </c>
      <c r="Y36" s="221" t="s">
        <v>1094</v>
      </c>
      <c r="AA36" s="77" t="s">
        <v>1243</v>
      </c>
      <c r="AB36" s="195" t="s">
        <v>1725</v>
      </c>
      <c r="AC36" s="6"/>
      <c r="AD36" s="6"/>
      <c r="AE36" s="6"/>
      <c r="AF36" s="6"/>
      <c r="AG36" s="6"/>
      <c r="AH36" s="7"/>
      <c r="AI36" s="7"/>
      <c r="AJ36" s="7"/>
      <c r="AK36" s="7"/>
      <c r="AL36" s="7"/>
      <c r="AM36" s="7"/>
      <c r="AN36" s="7"/>
      <c r="AO36" s="7"/>
      <c r="AP36" s="7"/>
      <c r="AQ36" s="7"/>
      <c r="AR36" s="7"/>
      <c r="AS36" s="7"/>
      <c r="AT36" s="7"/>
      <c r="AU36" s="7"/>
      <c r="AV36" s="7"/>
      <c r="AW36" s="7"/>
      <c r="AX36" s="7"/>
      <c r="AY36" s="7"/>
    </row>
    <row r="37" spans="1:51">
      <c r="A37" t="s">
        <v>2310</v>
      </c>
      <c r="B37" t="s">
        <v>2074</v>
      </c>
      <c r="C37">
        <v>50</v>
      </c>
      <c r="D37">
        <v>10</v>
      </c>
      <c r="E37" t="s">
        <v>1546</v>
      </c>
      <c r="F37" t="s">
        <v>1681</v>
      </c>
      <c r="I37" s="90">
        <v>0</v>
      </c>
      <c r="J37" s="90" t="s">
        <v>1876</v>
      </c>
      <c r="K37" s="90" t="s">
        <v>1361</v>
      </c>
      <c r="L37" s="90" t="s">
        <v>1876</v>
      </c>
      <c r="M37" s="90" t="s">
        <v>1361</v>
      </c>
      <c r="N37" s="90">
        <v>1</v>
      </c>
      <c r="O37" s="90">
        <v>0</v>
      </c>
      <c r="P37" s="90" t="s">
        <v>1762</v>
      </c>
      <c r="Q37" s="90">
        <f t="shared" si="1"/>
        <v>10</v>
      </c>
      <c r="R37" s="90">
        <v>1</v>
      </c>
      <c r="S37" s="90" t="s">
        <v>1915</v>
      </c>
      <c r="T37" s="90">
        <v>1</v>
      </c>
      <c r="U37" s="90">
        <f>IF(E37="Easy",2,IF(E37="Moderate",3,IF(E37="Hard",4,IF(E37="Very Hard",5,0))))</f>
        <v>4</v>
      </c>
      <c r="V37" s="90">
        <v>5</v>
      </c>
      <c r="W37" s="90">
        <v>8</v>
      </c>
      <c r="X37" s="90">
        <v>4</v>
      </c>
      <c r="Y37" s="221" t="s">
        <v>1161</v>
      </c>
    </row>
    <row r="38" spans="1:51">
      <c r="A38" t="s">
        <v>2210</v>
      </c>
      <c r="B38" t="s">
        <v>1919</v>
      </c>
      <c r="C38">
        <v>5</v>
      </c>
      <c r="D38" t="s">
        <v>1706</v>
      </c>
      <c r="E38" t="s">
        <v>1384</v>
      </c>
      <c r="F38" t="s">
        <v>1665</v>
      </c>
      <c r="I38" s="90">
        <v>0</v>
      </c>
      <c r="J38" s="90" t="s">
        <v>1876</v>
      </c>
      <c r="K38" s="90" t="s">
        <v>1361</v>
      </c>
      <c r="L38" s="90" t="s">
        <v>1876</v>
      </c>
      <c r="M38" s="90" t="s">
        <v>1361</v>
      </c>
      <c r="N38" s="90">
        <v>1</v>
      </c>
      <c r="O38" s="90">
        <v>0</v>
      </c>
      <c r="P38" s="90" t="s">
        <v>2104</v>
      </c>
      <c r="Q38" s="90" t="str">
        <f t="shared" si="1"/>
        <v>Touch</v>
      </c>
      <c r="R38" s="90">
        <v>10</v>
      </c>
      <c r="S38" s="90" t="s">
        <v>1614</v>
      </c>
      <c r="T38" s="90">
        <v>1</v>
      </c>
      <c r="U38" s="90">
        <f>IF(E38="Easy",2,IF(E38="Moderate",3,IF(E38="Hard",4,IF(E38="Very Hard",5,0))))</f>
        <v>2</v>
      </c>
      <c r="V38" s="90">
        <v>3</v>
      </c>
      <c r="W38" s="90">
        <v>6</v>
      </c>
      <c r="X38" s="90">
        <v>3</v>
      </c>
      <c r="Y38" s="221" t="s">
        <v>1665</v>
      </c>
    </row>
    <row r="39" spans="1:51">
      <c r="A39" t="s">
        <v>1918</v>
      </c>
      <c r="B39" t="s">
        <v>1919</v>
      </c>
      <c r="C39">
        <v>50</v>
      </c>
      <c r="D39">
        <v>10</v>
      </c>
      <c r="E39" t="s">
        <v>1975</v>
      </c>
      <c r="F39" t="s">
        <v>1859</v>
      </c>
      <c r="I39" s="90">
        <v>0</v>
      </c>
      <c r="J39" s="90" t="s">
        <v>1876</v>
      </c>
      <c r="K39" s="90" t="s">
        <v>1361</v>
      </c>
      <c r="L39" s="90" t="s">
        <v>1876</v>
      </c>
      <c r="M39" s="90" t="s">
        <v>1361</v>
      </c>
      <c r="N39" s="90">
        <v>1</v>
      </c>
      <c r="O39" s="90">
        <v>0</v>
      </c>
      <c r="P39" s="90" t="s">
        <v>1762</v>
      </c>
      <c r="Q39" s="90">
        <f t="shared" si="1"/>
        <v>10</v>
      </c>
      <c r="R39" s="90">
        <v>5</v>
      </c>
      <c r="S39" s="90" t="s">
        <v>1614</v>
      </c>
      <c r="T39" s="90">
        <v>3</v>
      </c>
      <c r="U39" s="90">
        <v>5</v>
      </c>
      <c r="V39" s="90">
        <v>6</v>
      </c>
      <c r="W39" s="90">
        <v>11</v>
      </c>
      <c r="X39" s="90">
        <v>5</v>
      </c>
      <c r="Y39" s="221" t="s">
        <v>1431</v>
      </c>
    </row>
    <row r="40" spans="1:51">
      <c r="A40" t="s">
        <v>2093</v>
      </c>
      <c r="B40" t="s">
        <v>1919</v>
      </c>
      <c r="C40">
        <v>20</v>
      </c>
      <c r="D40">
        <v>20</v>
      </c>
      <c r="E40" t="s">
        <v>1546</v>
      </c>
      <c r="F40" t="s">
        <v>1753</v>
      </c>
      <c r="I40" s="90">
        <v>0</v>
      </c>
      <c r="J40" s="90" t="s">
        <v>1876</v>
      </c>
      <c r="K40" s="90" t="s">
        <v>1361</v>
      </c>
      <c r="L40" s="90" t="s">
        <v>1876</v>
      </c>
      <c r="M40" s="90" t="s">
        <v>1361</v>
      </c>
      <c r="N40" s="90">
        <v>1</v>
      </c>
      <c r="O40" s="90">
        <v>0</v>
      </c>
      <c r="P40" s="90" t="s">
        <v>1762</v>
      </c>
      <c r="Q40" s="90">
        <f t="shared" si="1"/>
        <v>20</v>
      </c>
      <c r="R40" s="90">
        <v>5</v>
      </c>
      <c r="S40" s="90" t="s">
        <v>1614</v>
      </c>
      <c r="T40" s="90">
        <v>2</v>
      </c>
      <c r="U40" s="90">
        <f t="shared" ref="U40:U47" si="4">IF(E40="Easy",2,IF(E40="Moderate",3,IF(E40="Hard",4,IF(E40="Very Hard",5,0))))</f>
        <v>4</v>
      </c>
      <c r="V40" s="90">
        <v>5</v>
      </c>
      <c r="W40" s="90">
        <v>10</v>
      </c>
      <c r="X40" s="90">
        <v>5</v>
      </c>
      <c r="Y40" s="221" t="s">
        <v>1432</v>
      </c>
    </row>
    <row r="41" spans="1:51">
      <c r="A41" t="s">
        <v>1738</v>
      </c>
      <c r="B41" t="s">
        <v>1925</v>
      </c>
      <c r="C41">
        <v>5</v>
      </c>
      <c r="D41">
        <v>10</v>
      </c>
      <c r="E41" t="s">
        <v>1975</v>
      </c>
      <c r="F41" t="s">
        <v>1218</v>
      </c>
      <c r="I41" s="90">
        <v>0</v>
      </c>
      <c r="J41" s="90" t="s">
        <v>1876</v>
      </c>
      <c r="K41" s="90" t="s">
        <v>1361</v>
      </c>
      <c r="L41" s="90" t="s">
        <v>1876</v>
      </c>
      <c r="M41" s="90" t="s">
        <v>1361</v>
      </c>
      <c r="N41" s="90">
        <v>1</v>
      </c>
      <c r="O41" s="90">
        <v>0</v>
      </c>
      <c r="P41" s="90" t="s">
        <v>1762</v>
      </c>
      <c r="Q41" s="90">
        <f t="shared" si="1"/>
        <v>10</v>
      </c>
      <c r="R41" s="90">
        <v>3</v>
      </c>
      <c r="S41" s="90" t="s">
        <v>1614</v>
      </c>
      <c r="T41" s="90">
        <v>2</v>
      </c>
      <c r="U41" s="90">
        <f t="shared" si="4"/>
        <v>5</v>
      </c>
      <c r="V41" s="90">
        <v>6</v>
      </c>
      <c r="W41" s="90">
        <v>10</v>
      </c>
      <c r="X41" s="90">
        <v>5</v>
      </c>
      <c r="Y41" s="221" t="s">
        <v>897</v>
      </c>
    </row>
    <row r="42" spans="1:51">
      <c r="A42" t="s">
        <v>1737</v>
      </c>
      <c r="B42" t="s">
        <v>1925</v>
      </c>
      <c r="C42">
        <v>10</v>
      </c>
      <c r="D42" t="s">
        <v>1706</v>
      </c>
      <c r="E42" t="s">
        <v>1569</v>
      </c>
      <c r="F42" t="s">
        <v>1299</v>
      </c>
      <c r="I42" s="90">
        <v>0</v>
      </c>
      <c r="J42" s="90" t="s">
        <v>1876</v>
      </c>
      <c r="K42" s="90" t="s">
        <v>1361</v>
      </c>
      <c r="L42" s="90" t="s">
        <v>1876</v>
      </c>
      <c r="M42" s="90" t="s">
        <v>1361</v>
      </c>
      <c r="N42" s="90">
        <v>1</v>
      </c>
      <c r="O42" s="90">
        <v>0</v>
      </c>
      <c r="P42" s="90" t="s">
        <v>2104</v>
      </c>
      <c r="Q42" s="90" t="str">
        <f t="shared" si="1"/>
        <v>Touch</v>
      </c>
      <c r="R42" s="90">
        <v>1</v>
      </c>
      <c r="S42" s="90" t="s">
        <v>1915</v>
      </c>
      <c r="T42" s="90">
        <v>1</v>
      </c>
      <c r="U42" s="90">
        <f t="shared" si="4"/>
        <v>3</v>
      </c>
      <c r="V42" s="90">
        <v>4</v>
      </c>
      <c r="W42" s="90">
        <v>7</v>
      </c>
      <c r="X42" s="90">
        <v>3</v>
      </c>
      <c r="Y42" s="221" t="s">
        <v>898</v>
      </c>
    </row>
    <row r="43" spans="1:51">
      <c r="A43" t="s">
        <v>1993</v>
      </c>
      <c r="B43" t="s">
        <v>2075</v>
      </c>
      <c r="C43">
        <v>50</v>
      </c>
      <c r="D43">
        <v>5</v>
      </c>
      <c r="E43" t="s">
        <v>1975</v>
      </c>
      <c r="F43" t="s">
        <v>2068</v>
      </c>
      <c r="I43" s="90">
        <v>0</v>
      </c>
      <c r="J43" s="90" t="s">
        <v>1876</v>
      </c>
      <c r="K43" s="90" t="s">
        <v>1361</v>
      </c>
      <c r="L43" s="90" t="s">
        <v>1876</v>
      </c>
      <c r="M43" s="90" t="s">
        <v>1361</v>
      </c>
      <c r="N43" s="90">
        <v>1</v>
      </c>
      <c r="O43" s="90">
        <v>0</v>
      </c>
      <c r="P43" s="90" t="s">
        <v>1762</v>
      </c>
      <c r="Q43" s="90">
        <f t="shared" si="1"/>
        <v>5</v>
      </c>
      <c r="R43" s="90">
        <v>5</v>
      </c>
      <c r="S43" s="90" t="s">
        <v>1614</v>
      </c>
      <c r="T43" s="90">
        <v>2</v>
      </c>
      <c r="U43" s="90">
        <f t="shared" si="4"/>
        <v>5</v>
      </c>
      <c r="V43" s="90">
        <v>6</v>
      </c>
      <c r="W43" s="90">
        <v>9</v>
      </c>
      <c r="X43" s="90">
        <v>4</v>
      </c>
      <c r="Y43" s="221" t="s">
        <v>892</v>
      </c>
    </row>
    <row r="44" spans="1:51">
      <c r="A44" t="s">
        <v>2284</v>
      </c>
      <c r="B44" t="s">
        <v>1912</v>
      </c>
      <c r="C44">
        <v>15</v>
      </c>
      <c r="D44">
        <v>40</v>
      </c>
      <c r="E44" t="s">
        <v>1384</v>
      </c>
      <c r="F44" t="s">
        <v>2293</v>
      </c>
      <c r="I44" s="90">
        <v>0</v>
      </c>
      <c r="J44" s="90" t="s">
        <v>1876</v>
      </c>
      <c r="K44" s="90" t="s">
        <v>1361</v>
      </c>
      <c r="L44" s="90" t="s">
        <v>1876</v>
      </c>
      <c r="M44" s="90" t="s">
        <v>1361</v>
      </c>
      <c r="N44" s="90">
        <v>1</v>
      </c>
      <c r="O44" s="90">
        <v>0</v>
      </c>
      <c r="P44" s="90" t="s">
        <v>1762</v>
      </c>
      <c r="Q44" s="90">
        <f t="shared" si="1"/>
        <v>40</v>
      </c>
      <c r="R44" s="90">
        <v>1</v>
      </c>
      <c r="S44" s="90" t="s">
        <v>1614</v>
      </c>
      <c r="T44" s="90">
        <v>1</v>
      </c>
      <c r="U44" s="90">
        <f t="shared" si="4"/>
        <v>2</v>
      </c>
      <c r="V44" s="90">
        <v>3</v>
      </c>
      <c r="W44" s="90">
        <v>6</v>
      </c>
      <c r="X44" s="90">
        <v>3</v>
      </c>
      <c r="Y44" s="221" t="s">
        <v>1119</v>
      </c>
    </row>
    <row r="45" spans="1:51">
      <c r="A45" t="s">
        <v>1941</v>
      </c>
      <c r="B45" t="s">
        <v>2075</v>
      </c>
      <c r="C45">
        <v>25</v>
      </c>
      <c r="D45">
        <v>5</v>
      </c>
      <c r="E45" t="s">
        <v>1546</v>
      </c>
      <c r="F45" t="s">
        <v>2158</v>
      </c>
      <c r="I45" s="90">
        <v>0</v>
      </c>
      <c r="J45" s="90" t="s">
        <v>1876</v>
      </c>
      <c r="K45" s="90" t="s">
        <v>1361</v>
      </c>
      <c r="L45" s="90" t="s">
        <v>1876</v>
      </c>
      <c r="M45" s="90" t="s">
        <v>1361</v>
      </c>
      <c r="N45" s="90">
        <v>1</v>
      </c>
      <c r="O45" s="90">
        <v>0</v>
      </c>
      <c r="P45" s="90" t="s">
        <v>1762</v>
      </c>
      <c r="Q45" s="90">
        <f t="shared" si="1"/>
        <v>5</v>
      </c>
      <c r="R45" s="90">
        <v>6</v>
      </c>
      <c r="S45" s="90" t="s">
        <v>1614</v>
      </c>
      <c r="T45" s="90">
        <v>2</v>
      </c>
      <c r="U45" s="90">
        <f t="shared" si="4"/>
        <v>4</v>
      </c>
      <c r="V45" s="90">
        <v>5</v>
      </c>
      <c r="W45" s="90">
        <v>8</v>
      </c>
      <c r="X45" s="90">
        <v>4</v>
      </c>
      <c r="Y45" s="221" t="s">
        <v>1052</v>
      </c>
    </row>
    <row r="46" spans="1:51">
      <c r="A46" t="s">
        <v>2077</v>
      </c>
      <c r="B46" t="s">
        <v>2075</v>
      </c>
      <c r="C46">
        <v>10</v>
      </c>
      <c r="D46" t="s">
        <v>1706</v>
      </c>
      <c r="E46" t="s">
        <v>1384</v>
      </c>
      <c r="F46" t="s">
        <v>1705</v>
      </c>
      <c r="I46" s="90">
        <v>0</v>
      </c>
      <c r="J46" s="90" t="s">
        <v>1876</v>
      </c>
      <c r="K46" s="90" t="s">
        <v>1361</v>
      </c>
      <c r="L46" s="90" t="s">
        <v>1876</v>
      </c>
      <c r="M46" s="90" t="s">
        <v>1361</v>
      </c>
      <c r="N46" s="90">
        <v>1</v>
      </c>
      <c r="O46" s="90">
        <v>0</v>
      </c>
      <c r="P46" s="90" t="s">
        <v>2104</v>
      </c>
      <c r="Q46" s="90" t="str">
        <f t="shared" si="1"/>
        <v>Touch</v>
      </c>
      <c r="R46" s="90">
        <v>1</v>
      </c>
      <c r="S46" s="90" t="s">
        <v>1915</v>
      </c>
      <c r="T46" s="90">
        <v>1</v>
      </c>
      <c r="U46" s="90">
        <f t="shared" si="4"/>
        <v>2</v>
      </c>
      <c r="V46" s="90">
        <v>3</v>
      </c>
      <c r="W46" s="90">
        <v>6</v>
      </c>
      <c r="X46" s="90">
        <v>3</v>
      </c>
      <c r="Y46" s="221" t="s">
        <v>1705</v>
      </c>
    </row>
    <row r="47" spans="1:51">
      <c r="A47" t="s">
        <v>2125</v>
      </c>
      <c r="B47" t="s">
        <v>1919</v>
      </c>
      <c r="C47">
        <v>60</v>
      </c>
      <c r="D47">
        <v>10</v>
      </c>
      <c r="E47" t="s">
        <v>1546</v>
      </c>
      <c r="F47" t="s">
        <v>2265</v>
      </c>
      <c r="I47" s="90">
        <v>0</v>
      </c>
      <c r="J47" s="90" t="s">
        <v>1876</v>
      </c>
      <c r="K47" s="90" t="s">
        <v>1361</v>
      </c>
      <c r="L47" s="90" t="s">
        <v>1876</v>
      </c>
      <c r="M47" s="90" t="s">
        <v>1361</v>
      </c>
      <c r="N47" s="90">
        <v>1</v>
      </c>
      <c r="O47" s="90">
        <v>0</v>
      </c>
      <c r="P47" s="90" t="s">
        <v>2104</v>
      </c>
      <c r="Q47" s="90">
        <f t="shared" si="1"/>
        <v>10</v>
      </c>
      <c r="R47" s="90" t="s">
        <v>1237</v>
      </c>
      <c r="T47" s="90">
        <v>1</v>
      </c>
      <c r="U47" s="90">
        <f t="shared" si="4"/>
        <v>4</v>
      </c>
      <c r="V47" s="90">
        <v>5</v>
      </c>
      <c r="W47" s="90">
        <v>23</v>
      </c>
      <c r="X47" s="90">
        <v>11</v>
      </c>
      <c r="Y47" s="221" t="s">
        <v>1697</v>
      </c>
    </row>
    <row r="48" spans="1:51">
      <c r="U48" s="90"/>
    </row>
    <row r="49" spans="1:21">
      <c r="U49" s="90"/>
    </row>
    <row r="50" spans="1:21">
      <c r="A50" s="88" t="s">
        <v>1513</v>
      </c>
      <c r="B50" s="88" t="s">
        <v>1243</v>
      </c>
      <c r="C50" s="88" t="s">
        <v>1916</v>
      </c>
      <c r="D50" s="88" t="s">
        <v>2370</v>
      </c>
      <c r="E50" s="88" t="s">
        <v>1662</v>
      </c>
      <c r="F50" s="88" t="s">
        <v>1663</v>
      </c>
      <c r="G50" s="88" t="s">
        <v>1689</v>
      </c>
      <c r="H50" s="88" t="s">
        <v>1791</v>
      </c>
      <c r="I50" s="88" t="s">
        <v>2102</v>
      </c>
      <c r="O50"/>
      <c r="Q50" t="s">
        <v>2107</v>
      </c>
      <c r="U50" s="90"/>
    </row>
    <row r="51" spans="1:21">
      <c r="A51" s="6" t="s">
        <v>1736</v>
      </c>
      <c r="B51" s="6">
        <v>3</v>
      </c>
      <c r="C51" s="6">
        <v>1</v>
      </c>
      <c r="D51" s="6" t="s">
        <v>1706</v>
      </c>
      <c r="E51" s="6" t="s">
        <v>1125</v>
      </c>
      <c r="F51" s="6" t="s">
        <v>1216</v>
      </c>
      <c r="G51" s="89" t="s">
        <v>1159</v>
      </c>
      <c r="H51" s="89" t="s">
        <v>1159</v>
      </c>
      <c r="I51" s="6" t="s">
        <v>1501</v>
      </c>
      <c r="J51" s="89"/>
      <c r="K51" s="89"/>
      <c r="L51" s="89"/>
      <c r="M51" s="89"/>
      <c r="N51" s="89"/>
      <c r="O51" s="89"/>
      <c r="P51" s="89"/>
      <c r="Q51" s="89">
        <v>3</v>
      </c>
      <c r="U51" s="90"/>
    </row>
    <row r="52" spans="1:21">
      <c r="A52" s="99" t="s">
        <v>1946</v>
      </c>
      <c r="B52" s="146">
        <f>Q52+CritterSheet!$K$1</f>
        <v>4</v>
      </c>
      <c r="C52" t="s">
        <v>1412</v>
      </c>
      <c r="D52" t="s">
        <v>1412</v>
      </c>
      <c r="E52" t="s">
        <v>1762</v>
      </c>
      <c r="F52" t="s">
        <v>1764</v>
      </c>
      <c r="G52" t="s">
        <v>1159</v>
      </c>
      <c r="H52" t="s">
        <v>1159</v>
      </c>
      <c r="I52" s="134" t="s">
        <v>1871</v>
      </c>
      <c r="O52"/>
      <c r="Q52" s="146">
        <v>2</v>
      </c>
      <c r="U52" s="90"/>
    </row>
    <row r="53" spans="1:21">
      <c r="A53" s="99" t="s">
        <v>1604</v>
      </c>
      <c r="B53" s="146">
        <f>Q53+CritterSheet!$K$1</f>
        <v>9</v>
      </c>
      <c r="C53">
        <v>1</v>
      </c>
      <c r="D53" t="s">
        <v>1706</v>
      </c>
      <c r="E53" t="s">
        <v>2104</v>
      </c>
      <c r="F53" t="s">
        <v>1411</v>
      </c>
      <c r="G53" t="s">
        <v>1159</v>
      </c>
      <c r="H53" t="s">
        <v>1159</v>
      </c>
      <c r="I53" s="134" t="s">
        <v>1857</v>
      </c>
      <c r="O53"/>
      <c r="Q53" s="146">
        <v>7</v>
      </c>
      <c r="U53" s="90"/>
    </row>
    <row r="54" spans="1:21">
      <c r="A54" s="99" t="s">
        <v>2119</v>
      </c>
      <c r="B54" s="146">
        <f>Q54+CritterSheet!$K$1</f>
        <v>4</v>
      </c>
      <c r="C54" t="s">
        <v>1412</v>
      </c>
      <c r="D54" t="s">
        <v>1412</v>
      </c>
      <c r="E54" t="s">
        <v>1762</v>
      </c>
      <c r="F54" t="s">
        <v>1251</v>
      </c>
      <c r="G54" t="s">
        <v>1159</v>
      </c>
      <c r="H54" t="s">
        <v>1159</v>
      </c>
      <c r="I54" t="s">
        <v>2153</v>
      </c>
      <c r="O54"/>
      <c r="Q54" s="146">
        <v>2</v>
      </c>
      <c r="U54" s="90"/>
    </row>
    <row r="55" spans="1:21">
      <c r="A55" s="99" t="s">
        <v>2283</v>
      </c>
      <c r="B55" s="146">
        <f>Q55+CritterSheet!$K$1</f>
        <v>4</v>
      </c>
      <c r="C55" t="s">
        <v>2155</v>
      </c>
      <c r="D55" t="s">
        <v>1706</v>
      </c>
      <c r="E55" t="s">
        <v>2104</v>
      </c>
      <c r="F55" t="s">
        <v>1235</v>
      </c>
      <c r="G55" t="s">
        <v>1159</v>
      </c>
      <c r="H55" t="s">
        <v>1159</v>
      </c>
      <c r="I55" t="s">
        <v>2410</v>
      </c>
      <c r="Q55" s="146">
        <v>2</v>
      </c>
      <c r="U55" s="90"/>
    </row>
    <row r="56" spans="1:21">
      <c r="A56" s="242" t="s">
        <v>1147</v>
      </c>
      <c r="B56" s="244">
        <v>7</v>
      </c>
      <c r="C56">
        <v>1</v>
      </c>
      <c r="D56" t="s">
        <v>934</v>
      </c>
      <c r="E56" t="s">
        <v>935</v>
      </c>
      <c r="F56" t="s">
        <v>830</v>
      </c>
      <c r="G56" t="s">
        <v>963</v>
      </c>
      <c r="H56" t="s">
        <v>963</v>
      </c>
      <c r="I56" t="s">
        <v>964</v>
      </c>
      <c r="Q56" s="244">
        <v>7</v>
      </c>
      <c r="U56" s="90"/>
    </row>
    <row r="57" spans="1:21">
      <c r="A57" s="99" t="s">
        <v>2002</v>
      </c>
      <c r="B57" s="146">
        <f>Q57+CritterSheet!$K$1</f>
        <v>7</v>
      </c>
      <c r="C57">
        <v>1</v>
      </c>
      <c r="D57" t="s">
        <v>1706</v>
      </c>
      <c r="E57" t="s">
        <v>1762</v>
      </c>
      <c r="F57" t="s">
        <v>1235</v>
      </c>
      <c r="G57" t="s">
        <v>1159</v>
      </c>
      <c r="H57" t="s">
        <v>1159</v>
      </c>
      <c r="I57" t="s">
        <v>2106</v>
      </c>
      <c r="Q57" s="146">
        <v>5</v>
      </c>
      <c r="U57" s="90"/>
    </row>
    <row r="58" spans="1:21">
      <c r="A58" s="99" t="s">
        <v>2285</v>
      </c>
      <c r="B58" s="146">
        <f>Q58+CritterSheet!$K$1</f>
        <v>9</v>
      </c>
      <c r="C58" t="s">
        <v>1250</v>
      </c>
      <c r="D58" t="s">
        <v>1250</v>
      </c>
      <c r="E58" t="s">
        <v>1550</v>
      </c>
      <c r="F58" t="s">
        <v>1763</v>
      </c>
      <c r="G58" t="s">
        <v>1159</v>
      </c>
      <c r="H58" t="s">
        <v>1159</v>
      </c>
      <c r="I58" t="s">
        <v>2000</v>
      </c>
      <c r="Q58" s="146">
        <v>7</v>
      </c>
      <c r="U58" s="90"/>
    </row>
    <row r="59" spans="1:21">
      <c r="A59" s="99" t="s">
        <v>1842</v>
      </c>
      <c r="B59" s="146" t="str">
        <f>Q59</f>
        <v>Varies</v>
      </c>
      <c r="C59" t="s">
        <v>2154</v>
      </c>
      <c r="D59" t="s">
        <v>2154</v>
      </c>
      <c r="E59" t="s">
        <v>2154</v>
      </c>
      <c r="F59" t="s">
        <v>2154</v>
      </c>
      <c r="G59" t="s">
        <v>2154</v>
      </c>
      <c r="H59" t="s">
        <v>2154</v>
      </c>
      <c r="I59" t="s">
        <v>2154</v>
      </c>
      <c r="Q59" t="s">
        <v>2154</v>
      </c>
      <c r="U59" s="90"/>
    </row>
    <row r="60" spans="1:21">
      <c r="A60" s="99" t="s">
        <v>1605</v>
      </c>
      <c r="B60" s="146">
        <f>Q60+CritterSheet!$K$1</f>
        <v>9</v>
      </c>
      <c r="C60">
        <v>1</v>
      </c>
      <c r="D60" t="s">
        <v>1706</v>
      </c>
      <c r="E60" t="s">
        <v>1762</v>
      </c>
      <c r="F60" t="s">
        <v>1235</v>
      </c>
      <c r="G60" t="s">
        <v>1159</v>
      </c>
      <c r="H60" t="s">
        <v>1159</v>
      </c>
      <c r="I60" t="s">
        <v>909</v>
      </c>
      <c r="Q60" s="146">
        <v>7</v>
      </c>
      <c r="U60" s="90"/>
    </row>
    <row r="61" spans="1:21">
      <c r="U61" s="90"/>
    </row>
    <row r="62" spans="1:21">
      <c r="U62" s="90"/>
    </row>
    <row r="63" spans="1:21">
      <c r="U63" s="90"/>
    </row>
    <row r="64" spans="1:21">
      <c r="U64" s="90"/>
    </row>
    <row r="65" spans="1:21">
      <c r="U65" s="90"/>
    </row>
    <row r="66" spans="1:21">
      <c r="A66" s="224" t="s">
        <v>1374</v>
      </c>
      <c r="U66" s="90"/>
    </row>
    <row r="67" spans="1:21">
      <c r="U67" s="90"/>
    </row>
    <row r="68" spans="1:21">
      <c r="U68" s="90"/>
    </row>
    <row r="69" spans="1:21">
      <c r="U69" s="90"/>
    </row>
    <row r="70" spans="1:21">
      <c r="U70" s="90"/>
    </row>
    <row r="71" spans="1:21">
      <c r="U71" s="90"/>
    </row>
    <row r="72" spans="1:21">
      <c r="U72" s="90"/>
    </row>
    <row r="73" spans="1:21">
      <c r="U73" s="90"/>
    </row>
    <row r="74" spans="1:21">
      <c r="U74" s="90"/>
    </row>
    <row r="75" spans="1:21">
      <c r="U75" s="90"/>
    </row>
    <row r="76" spans="1:21">
      <c r="U76" s="90"/>
    </row>
    <row r="77" spans="1:21">
      <c r="U77" s="90"/>
    </row>
    <row r="78" spans="1:21">
      <c r="U78" s="90"/>
    </row>
    <row r="79" spans="1:21">
      <c r="U79" s="90"/>
    </row>
    <row r="80" spans="1:21">
      <c r="U80" s="90"/>
    </row>
    <row r="81" spans="21:21">
      <c r="U81" s="90"/>
    </row>
    <row r="82" spans="21:21">
      <c r="U82" s="90"/>
    </row>
    <row r="83" spans="21:21">
      <c r="U83" s="90"/>
    </row>
    <row r="84" spans="21:21">
      <c r="U84" s="90"/>
    </row>
    <row r="85" spans="21:21">
      <c r="U85" s="90"/>
    </row>
    <row r="86" spans="21:21">
      <c r="U86" s="90"/>
    </row>
    <row r="87" spans="21:21">
      <c r="U87" s="90"/>
    </row>
    <row r="88" spans="21:21">
      <c r="U88" s="90"/>
    </row>
    <row r="89" spans="21:21">
      <c r="U89" s="90"/>
    </row>
    <row r="90" spans="21:21">
      <c r="U90" s="90"/>
    </row>
    <row r="91" spans="21:21">
      <c r="U91" s="90"/>
    </row>
    <row r="92" spans="21:21">
      <c r="U92" s="90"/>
    </row>
    <row r="93" spans="21:21">
      <c r="U93" s="90"/>
    </row>
    <row r="94" spans="21:21">
      <c r="U94" s="90"/>
    </row>
    <row r="95" spans="21:21">
      <c r="U95" s="90"/>
    </row>
    <row r="96" spans="21:21">
      <c r="U96" s="90"/>
    </row>
    <row r="97" spans="21:21">
      <c r="U97" s="90"/>
    </row>
    <row r="98" spans="21:21">
      <c r="U98" s="90"/>
    </row>
    <row r="99" spans="21:21">
      <c r="U99" s="90"/>
    </row>
    <row r="100" spans="21:21">
      <c r="U100" s="90"/>
    </row>
    <row r="101" spans="21:21">
      <c r="U101" s="90"/>
    </row>
    <row r="102" spans="21:21">
      <c r="U102" s="90"/>
    </row>
    <row r="103" spans="21:21">
      <c r="U103" s="90"/>
    </row>
    <row r="104" spans="21:21">
      <c r="U104" s="90"/>
    </row>
    <row r="105" spans="21:21">
      <c r="U105" s="90"/>
    </row>
    <row r="106" spans="21:21">
      <c r="U106" s="90"/>
    </row>
    <row r="107" spans="21:21">
      <c r="U107" s="90"/>
    </row>
    <row r="108" spans="21:21">
      <c r="U108" s="90"/>
    </row>
    <row r="109" spans="21:21">
      <c r="U109" s="90"/>
    </row>
    <row r="110" spans="21:21">
      <c r="U110" s="90"/>
    </row>
    <row r="111" spans="21:21">
      <c r="U111" s="90"/>
    </row>
    <row r="112" spans="21:21">
      <c r="U112" s="90"/>
    </row>
    <row r="113" spans="21:21">
      <c r="U113" s="90"/>
    </row>
    <row r="114" spans="21:21">
      <c r="U114" s="90"/>
    </row>
    <row r="115" spans="21:21">
      <c r="U115" s="90"/>
    </row>
    <row r="116" spans="21:21">
      <c r="U116" s="90"/>
    </row>
    <row r="117" spans="21:21">
      <c r="U117" s="90"/>
    </row>
    <row r="118" spans="21:21">
      <c r="U118" s="90"/>
    </row>
    <row r="119" spans="21:21">
      <c r="U119" s="90"/>
    </row>
    <row r="120" spans="21:21">
      <c r="U120" s="90"/>
    </row>
    <row r="121" spans="21:21">
      <c r="U121" s="90"/>
    </row>
    <row r="122" spans="21:21">
      <c r="U122" s="90"/>
    </row>
    <row r="123" spans="21:21">
      <c r="U123" s="90"/>
    </row>
    <row r="124" spans="21:21">
      <c r="U124" s="90"/>
    </row>
    <row r="125" spans="21:21">
      <c r="U125" s="90"/>
    </row>
    <row r="126" spans="21:21">
      <c r="U126" s="90"/>
    </row>
    <row r="127" spans="21:21">
      <c r="U127" s="90"/>
    </row>
    <row r="128" spans="21:21">
      <c r="U128" s="90"/>
    </row>
    <row r="129" spans="21:21">
      <c r="U129" s="90"/>
    </row>
    <row r="130" spans="21:21">
      <c r="U130" s="90"/>
    </row>
    <row r="131" spans="21:21">
      <c r="U131" s="90"/>
    </row>
    <row r="132" spans="21:21">
      <c r="U132" s="90"/>
    </row>
    <row r="133" spans="21:21">
      <c r="U133" s="90"/>
    </row>
    <row r="134" spans="21:21">
      <c r="U134" s="90"/>
    </row>
    <row r="135" spans="21:21">
      <c r="U135" s="90"/>
    </row>
    <row r="136" spans="21:21">
      <c r="U136" s="90"/>
    </row>
    <row r="137" spans="21:21">
      <c r="U137" s="90"/>
    </row>
    <row r="138" spans="21:21">
      <c r="U138" s="90"/>
    </row>
    <row r="139" spans="21:21">
      <c r="U139" s="90"/>
    </row>
    <row r="140" spans="21:21">
      <c r="U140" s="90"/>
    </row>
    <row r="141" spans="21:21">
      <c r="U141" s="90"/>
    </row>
    <row r="142" spans="21:21">
      <c r="U142" s="90"/>
    </row>
    <row r="143" spans="21:21">
      <c r="U143" s="90"/>
    </row>
    <row r="144" spans="21:21">
      <c r="U144" s="90"/>
    </row>
    <row r="145" spans="21:21">
      <c r="U145" s="90"/>
    </row>
    <row r="146" spans="21:21">
      <c r="U146" s="90"/>
    </row>
    <row r="147" spans="21:21">
      <c r="U147" s="90"/>
    </row>
    <row r="148" spans="21:21">
      <c r="U148" s="90"/>
    </row>
    <row r="149" spans="21:21">
      <c r="U149" s="90"/>
    </row>
    <row r="150" spans="21:21">
      <c r="U150" s="90"/>
    </row>
    <row r="151" spans="21:21">
      <c r="U151" s="90"/>
    </row>
    <row r="152" spans="21:21">
      <c r="U152" s="90"/>
    </row>
    <row r="153" spans="21:21">
      <c r="U153" s="90"/>
    </row>
    <row r="154" spans="21:21">
      <c r="U154" s="90"/>
    </row>
    <row r="155" spans="21:21">
      <c r="U155" s="90"/>
    </row>
    <row r="156" spans="21:21">
      <c r="U156" s="90"/>
    </row>
    <row r="157" spans="21:21">
      <c r="U157" s="90"/>
    </row>
    <row r="158" spans="21:21">
      <c r="U158" s="90"/>
    </row>
    <row r="159" spans="21:21">
      <c r="U159" s="90"/>
    </row>
    <row r="160" spans="21:21">
      <c r="U160" s="90"/>
    </row>
    <row r="161" spans="21:21">
      <c r="U161" s="90"/>
    </row>
    <row r="162" spans="21:21">
      <c r="U162" s="90"/>
    </row>
    <row r="163" spans="21:21">
      <c r="U163" s="90"/>
    </row>
    <row r="164" spans="21:21">
      <c r="U164" s="90"/>
    </row>
    <row r="165" spans="21:21">
      <c r="U165" s="90"/>
    </row>
    <row r="166" spans="21:21">
      <c r="U166" s="90"/>
    </row>
    <row r="167" spans="21:21">
      <c r="U167" s="90"/>
    </row>
    <row r="168" spans="21:21">
      <c r="U168" s="90"/>
    </row>
    <row r="169" spans="21:21">
      <c r="U169" s="90"/>
    </row>
    <row r="170" spans="21:21">
      <c r="U170" s="90"/>
    </row>
    <row r="171" spans="21:21">
      <c r="U171" s="90"/>
    </row>
    <row r="172" spans="21:21">
      <c r="U172" s="90"/>
    </row>
    <row r="173" spans="21:21">
      <c r="U173" s="90"/>
    </row>
    <row r="174" spans="21:21">
      <c r="U174" s="90"/>
    </row>
    <row r="175" spans="21:21">
      <c r="U175" s="90"/>
    </row>
    <row r="176" spans="21:21">
      <c r="U176" s="90"/>
    </row>
    <row r="177" spans="21:21">
      <c r="U177" s="90"/>
    </row>
    <row r="178" spans="21:21">
      <c r="U178" s="90"/>
    </row>
    <row r="179" spans="21:21">
      <c r="U179" s="90"/>
    </row>
    <row r="180" spans="21:21">
      <c r="U180" s="90"/>
    </row>
    <row r="181" spans="21:21">
      <c r="U181" s="90"/>
    </row>
    <row r="182" spans="21:21">
      <c r="U182" s="90"/>
    </row>
    <row r="183" spans="21:21">
      <c r="U183" s="90"/>
    </row>
    <row r="184" spans="21:21">
      <c r="U184" s="90"/>
    </row>
    <row r="185" spans="21:21">
      <c r="U185" s="90"/>
    </row>
    <row r="186" spans="21:21">
      <c r="U186" s="90"/>
    </row>
    <row r="187" spans="21:21">
      <c r="U187" s="90"/>
    </row>
    <row r="188" spans="21:21">
      <c r="U188" s="90"/>
    </row>
    <row r="189" spans="21:21">
      <c r="U189" s="90"/>
    </row>
    <row r="190" spans="21:21">
      <c r="U190" s="90"/>
    </row>
    <row r="191" spans="21:21">
      <c r="U191" s="90"/>
    </row>
    <row r="192" spans="21:21">
      <c r="U192" s="90"/>
    </row>
    <row r="193" spans="21:21">
      <c r="U193" s="90"/>
    </row>
    <row r="194" spans="21:21">
      <c r="U194" s="90"/>
    </row>
    <row r="195" spans="21:21">
      <c r="U195" s="90"/>
    </row>
    <row r="196" spans="21:21">
      <c r="U196" s="90"/>
    </row>
    <row r="197" spans="21:21">
      <c r="U197" s="90"/>
    </row>
    <row r="198" spans="21:21">
      <c r="U198" s="90"/>
    </row>
    <row r="199" spans="21:21">
      <c r="U199" s="90"/>
    </row>
    <row r="200" spans="21:21">
      <c r="U200" s="90"/>
    </row>
    <row r="201" spans="21:21">
      <c r="U201" s="90"/>
    </row>
    <row r="202" spans="21:21">
      <c r="U202" s="90"/>
    </row>
    <row r="203" spans="21:21">
      <c r="U203" s="90"/>
    </row>
    <row r="204" spans="21:21">
      <c r="U204" s="90"/>
    </row>
    <row r="205" spans="21:21">
      <c r="U205" s="90"/>
    </row>
    <row r="206" spans="21:21">
      <c r="U206" s="90"/>
    </row>
    <row r="207" spans="21:21">
      <c r="U207" s="90"/>
    </row>
    <row r="208" spans="21:21">
      <c r="U208" s="90"/>
    </row>
    <row r="209" spans="21:21">
      <c r="U209" s="90"/>
    </row>
    <row r="210" spans="21:21">
      <c r="U210" s="90"/>
    </row>
    <row r="211" spans="21:21">
      <c r="U211" s="90"/>
    </row>
    <row r="212" spans="21:21">
      <c r="U212" s="90"/>
    </row>
    <row r="213" spans="21:21">
      <c r="U213" s="90"/>
    </row>
    <row r="214" spans="21:21">
      <c r="U214" s="90"/>
    </row>
    <row r="215" spans="21:21">
      <c r="U215" s="90"/>
    </row>
    <row r="216" spans="21:21">
      <c r="U216" s="90"/>
    </row>
    <row r="217" spans="21:21">
      <c r="U217" s="90"/>
    </row>
    <row r="218" spans="21:21">
      <c r="U218" s="90"/>
    </row>
    <row r="219" spans="21:21">
      <c r="U219" s="90"/>
    </row>
    <row r="220" spans="21:21">
      <c r="U220" s="90"/>
    </row>
    <row r="221" spans="21:21">
      <c r="U221" s="90"/>
    </row>
    <row r="222" spans="21:21">
      <c r="U222" s="90"/>
    </row>
    <row r="223" spans="21:21">
      <c r="U223" s="90"/>
    </row>
    <row r="224" spans="21:21">
      <c r="U224" s="90"/>
    </row>
    <row r="225" spans="21:21">
      <c r="U225" s="90"/>
    </row>
    <row r="226" spans="21:21">
      <c r="U226" s="90"/>
    </row>
    <row r="227" spans="21:21">
      <c r="U227" s="90"/>
    </row>
    <row r="228" spans="21:21">
      <c r="U228" s="90"/>
    </row>
    <row r="229" spans="21:21">
      <c r="U229" s="90"/>
    </row>
    <row r="230" spans="21:21">
      <c r="U230" s="90"/>
    </row>
    <row r="231" spans="21:21">
      <c r="U231" s="90"/>
    </row>
    <row r="232" spans="21:21">
      <c r="U232" s="90"/>
    </row>
    <row r="233" spans="21:21">
      <c r="U233" s="90"/>
    </row>
    <row r="234" spans="21:21">
      <c r="U234" s="90"/>
    </row>
    <row r="235" spans="21:21">
      <c r="U235" s="90"/>
    </row>
    <row r="236" spans="21:21">
      <c r="U236" s="90"/>
    </row>
    <row r="237" spans="21:21">
      <c r="U237" s="90"/>
    </row>
    <row r="238" spans="21:21">
      <c r="U238" s="90"/>
    </row>
    <row r="239" spans="21:21">
      <c r="U239" s="90"/>
    </row>
    <row r="240" spans="21:21">
      <c r="U240" s="90"/>
    </row>
    <row r="241" spans="21:21">
      <c r="U241" s="90"/>
    </row>
    <row r="242" spans="21:21">
      <c r="U242" s="90"/>
    </row>
    <row r="243" spans="21:21">
      <c r="U243" s="90"/>
    </row>
    <row r="244" spans="21:21">
      <c r="U244" s="90"/>
    </row>
    <row r="245" spans="21:21">
      <c r="U245" s="90"/>
    </row>
    <row r="246" spans="21:21">
      <c r="U246" s="90"/>
    </row>
    <row r="247" spans="21:21">
      <c r="U247" s="90"/>
    </row>
    <row r="248" spans="21:21">
      <c r="U248" s="90"/>
    </row>
    <row r="249" spans="21:21">
      <c r="U249" s="90"/>
    </row>
    <row r="250" spans="21:21">
      <c r="U250" s="90"/>
    </row>
    <row r="251" spans="21:21">
      <c r="U251" s="90"/>
    </row>
    <row r="252" spans="21:21">
      <c r="U252" s="90"/>
    </row>
    <row r="253" spans="21:21">
      <c r="U253" s="90"/>
    </row>
    <row r="254" spans="21:21">
      <c r="U254" s="90"/>
    </row>
    <row r="255" spans="21:21">
      <c r="U255" s="90"/>
    </row>
    <row r="256" spans="21:21">
      <c r="U256" s="90"/>
    </row>
    <row r="257" spans="21:21">
      <c r="U257" s="90"/>
    </row>
    <row r="258" spans="21:21">
      <c r="U258" s="90"/>
    </row>
    <row r="259" spans="21:21">
      <c r="U259" s="90"/>
    </row>
    <row r="260" spans="21:21">
      <c r="U260" s="90"/>
    </row>
    <row r="261" spans="21:21">
      <c r="U261" s="90"/>
    </row>
    <row r="262" spans="21:21">
      <c r="U262" s="90"/>
    </row>
    <row r="263" spans="21:21">
      <c r="U263" s="90"/>
    </row>
    <row r="264" spans="21:21">
      <c r="U264" s="90"/>
    </row>
    <row r="265" spans="21:21">
      <c r="U265" s="90"/>
    </row>
    <row r="266" spans="21:21">
      <c r="U266" s="90"/>
    </row>
    <row r="267" spans="21:21">
      <c r="U267" s="90"/>
    </row>
    <row r="268" spans="21:21">
      <c r="U268" s="90"/>
    </row>
    <row r="269" spans="21:21">
      <c r="U269" s="90"/>
    </row>
    <row r="270" spans="21:21">
      <c r="U270" s="90"/>
    </row>
    <row r="271" spans="21:21">
      <c r="U271" s="90"/>
    </row>
    <row r="272" spans="21:21">
      <c r="U272" s="90"/>
    </row>
    <row r="273" spans="21:21">
      <c r="U273" s="90"/>
    </row>
    <row r="274" spans="21:21">
      <c r="U274" s="90"/>
    </row>
    <row r="275" spans="21:21">
      <c r="U275" s="90"/>
    </row>
    <row r="276" spans="21:21">
      <c r="U276" s="90"/>
    </row>
    <row r="277" spans="21:21">
      <c r="U277" s="90"/>
    </row>
    <row r="278" spans="21:21">
      <c r="U278" s="90"/>
    </row>
    <row r="279" spans="21:21">
      <c r="U279" s="90"/>
    </row>
    <row r="280" spans="21:21">
      <c r="U280" s="90"/>
    </row>
    <row r="281" spans="21:21">
      <c r="U281" s="90"/>
    </row>
    <row r="282" spans="21:21">
      <c r="U282" s="90"/>
    </row>
    <row r="283" spans="21:21">
      <c r="U283" s="90"/>
    </row>
    <row r="284" spans="21:21">
      <c r="U284" s="90"/>
    </row>
    <row r="285" spans="21:21">
      <c r="U285" s="90"/>
    </row>
    <row r="286" spans="21:21">
      <c r="U286" s="90"/>
    </row>
    <row r="287" spans="21:21">
      <c r="U287" s="90"/>
    </row>
    <row r="288" spans="21:21">
      <c r="U288" s="90"/>
    </row>
    <row r="289" spans="21:21">
      <c r="U289" s="90"/>
    </row>
    <row r="290" spans="21:21">
      <c r="U290" s="90"/>
    </row>
    <row r="291" spans="21:21">
      <c r="U291" s="90"/>
    </row>
    <row r="292" spans="21:21">
      <c r="U292" s="90"/>
    </row>
    <row r="293" spans="21:21">
      <c r="U293" s="90"/>
    </row>
    <row r="294" spans="21:21">
      <c r="U294" s="90"/>
    </row>
    <row r="295" spans="21:21">
      <c r="U295" s="90"/>
    </row>
    <row r="296" spans="21:21">
      <c r="U296" s="90"/>
    </row>
    <row r="297" spans="21:21">
      <c r="U297" s="90"/>
    </row>
    <row r="298" spans="21:21">
      <c r="U298" s="90"/>
    </row>
    <row r="299" spans="21:21">
      <c r="U299" s="90"/>
    </row>
    <row r="300" spans="21:21">
      <c r="U300" s="90"/>
    </row>
    <row r="301" spans="21:21">
      <c r="U301" s="90"/>
    </row>
    <row r="302" spans="21:21">
      <c r="U302" s="90"/>
    </row>
    <row r="303" spans="21:21">
      <c r="U303" s="90"/>
    </row>
    <row r="304" spans="21:21">
      <c r="U304" s="90"/>
    </row>
    <row r="305" spans="21:21">
      <c r="U305" s="90"/>
    </row>
    <row r="306" spans="21:21">
      <c r="U306" s="90"/>
    </row>
    <row r="307" spans="21:21">
      <c r="U307" s="90"/>
    </row>
    <row r="308" spans="21:21">
      <c r="U308" s="90"/>
    </row>
    <row r="309" spans="21:21">
      <c r="U309" s="90"/>
    </row>
    <row r="310" spans="21:21">
      <c r="U310" s="90"/>
    </row>
    <row r="311" spans="21:21">
      <c r="U311" s="90"/>
    </row>
    <row r="312" spans="21:21">
      <c r="U312" s="90"/>
    </row>
    <row r="313" spans="21:21">
      <c r="U313" s="90"/>
    </row>
    <row r="314" spans="21:21">
      <c r="U314" s="90"/>
    </row>
    <row r="315" spans="21:21">
      <c r="U315" s="90"/>
    </row>
    <row r="316" spans="21:21">
      <c r="U316" s="90"/>
    </row>
    <row r="317" spans="21:21">
      <c r="U317" s="90"/>
    </row>
    <row r="318" spans="21:21">
      <c r="U318" s="90"/>
    </row>
    <row r="319" spans="21:21">
      <c r="U319" s="90"/>
    </row>
    <row r="320" spans="21:21">
      <c r="U320" s="90"/>
    </row>
    <row r="321" spans="21:21">
      <c r="U321" s="90"/>
    </row>
    <row r="322" spans="21:21">
      <c r="U322" s="90"/>
    </row>
    <row r="323" spans="21:21">
      <c r="U323" s="90"/>
    </row>
    <row r="324" spans="21:21">
      <c r="U324" s="90"/>
    </row>
    <row r="325" spans="21:21">
      <c r="U325" s="90"/>
    </row>
    <row r="326" spans="21:21">
      <c r="U326" s="90"/>
    </row>
    <row r="327" spans="21:21">
      <c r="U327" s="90"/>
    </row>
    <row r="328" spans="21:21">
      <c r="U328" s="90"/>
    </row>
    <row r="329" spans="21:21">
      <c r="U329" s="90"/>
    </row>
    <row r="330" spans="21:21">
      <c r="U330" s="90"/>
    </row>
    <row r="331" spans="21:21">
      <c r="U331" s="90"/>
    </row>
    <row r="332" spans="21:21">
      <c r="U332" s="90"/>
    </row>
    <row r="333" spans="21:21">
      <c r="U333" s="90"/>
    </row>
    <row r="334" spans="21:21">
      <c r="U334" s="90"/>
    </row>
    <row r="335" spans="21:21">
      <c r="U335" s="90"/>
    </row>
    <row r="336" spans="21:21">
      <c r="U336" s="90"/>
    </row>
    <row r="337" spans="21:21">
      <c r="U337" s="90"/>
    </row>
    <row r="338" spans="21:21">
      <c r="U338" s="90"/>
    </row>
    <row r="339" spans="21:21">
      <c r="U339" s="90"/>
    </row>
    <row r="340" spans="21:21">
      <c r="U340" s="90"/>
    </row>
    <row r="341" spans="21:21">
      <c r="U341" s="90"/>
    </row>
    <row r="342" spans="21:21">
      <c r="U342" s="90"/>
    </row>
    <row r="343" spans="21:21">
      <c r="U343" s="90"/>
    </row>
    <row r="344" spans="21:21">
      <c r="U344" s="90"/>
    </row>
    <row r="345" spans="21:21">
      <c r="U345" s="90"/>
    </row>
    <row r="346" spans="21:21">
      <c r="U346" s="90"/>
    </row>
    <row r="347" spans="21:21">
      <c r="U347" s="90"/>
    </row>
    <row r="348" spans="21:21">
      <c r="U348" s="90"/>
    </row>
    <row r="349" spans="21:21">
      <c r="U349" s="90"/>
    </row>
    <row r="350" spans="21:21">
      <c r="U350" s="90"/>
    </row>
    <row r="351" spans="21:21">
      <c r="U351" s="90"/>
    </row>
    <row r="352" spans="21:21">
      <c r="U352" s="90"/>
    </row>
    <row r="353" spans="21:21">
      <c r="U353" s="90"/>
    </row>
    <row r="354" spans="21:21">
      <c r="U354" s="90"/>
    </row>
    <row r="355" spans="21:21">
      <c r="U355" s="90"/>
    </row>
    <row r="356" spans="21:21">
      <c r="U356" s="90"/>
    </row>
    <row r="357" spans="21:21">
      <c r="U357" s="90"/>
    </row>
    <row r="358" spans="21:21">
      <c r="U358" s="90"/>
    </row>
    <row r="359" spans="21:21">
      <c r="U359" s="90"/>
    </row>
    <row r="360" spans="21:21">
      <c r="U360" s="90"/>
    </row>
    <row r="361" spans="21:21">
      <c r="U361" s="90"/>
    </row>
    <row r="362" spans="21:21">
      <c r="U362" s="90"/>
    </row>
    <row r="363" spans="21:21">
      <c r="U363" s="90"/>
    </row>
    <row r="364" spans="21:21">
      <c r="U364" s="90"/>
    </row>
    <row r="365" spans="21:21">
      <c r="U365" s="90"/>
    </row>
    <row r="366" spans="21:21">
      <c r="U366" s="90"/>
    </row>
    <row r="367" spans="21:21">
      <c r="U367" s="90"/>
    </row>
    <row r="368" spans="21:21">
      <c r="U368" s="90"/>
    </row>
    <row r="369" spans="21:21">
      <c r="U369" s="90"/>
    </row>
    <row r="370" spans="21:21">
      <c r="U370" s="90"/>
    </row>
    <row r="371" spans="21:21">
      <c r="U371" s="90"/>
    </row>
    <row r="372" spans="21:21">
      <c r="U372" s="90"/>
    </row>
    <row r="373" spans="21:21">
      <c r="U373" s="90"/>
    </row>
    <row r="374" spans="21:21">
      <c r="U374" s="90"/>
    </row>
    <row r="375" spans="21:21">
      <c r="U375" s="90"/>
    </row>
    <row r="376" spans="21:21">
      <c r="U376" s="90"/>
    </row>
    <row r="377" spans="21:21">
      <c r="U377" s="90"/>
    </row>
    <row r="378" spans="21:21">
      <c r="U378" s="90"/>
    </row>
    <row r="379" spans="21:21">
      <c r="U379" s="90"/>
    </row>
    <row r="380" spans="21:21">
      <c r="U380" s="90"/>
    </row>
    <row r="381" spans="21:21">
      <c r="U381" s="90"/>
    </row>
    <row r="382" spans="21:21">
      <c r="U382" s="90"/>
    </row>
    <row r="383" spans="21:21">
      <c r="U383" s="90"/>
    </row>
    <row r="384" spans="21:21">
      <c r="U384" s="90"/>
    </row>
    <row r="385" spans="21:21">
      <c r="U385" s="90"/>
    </row>
    <row r="386" spans="21:21">
      <c r="U386" s="90"/>
    </row>
    <row r="387" spans="21:21">
      <c r="U387" s="90"/>
    </row>
    <row r="388" spans="21:21">
      <c r="U388" s="90"/>
    </row>
    <row r="389" spans="21:21">
      <c r="U389" s="90"/>
    </row>
    <row r="390" spans="21:21">
      <c r="U390" s="90"/>
    </row>
    <row r="391" spans="21:21">
      <c r="U391" s="90"/>
    </row>
    <row r="392" spans="21:21">
      <c r="U392" s="90"/>
    </row>
    <row r="393" spans="21:21">
      <c r="U393" s="90"/>
    </row>
    <row r="394" spans="21:21">
      <c r="U394" s="90"/>
    </row>
    <row r="395" spans="21:21">
      <c r="U395" s="90"/>
    </row>
    <row r="396" spans="21:21">
      <c r="U396" s="90"/>
    </row>
    <row r="397" spans="21:21">
      <c r="U397" s="90"/>
    </row>
    <row r="398" spans="21:21">
      <c r="U398" s="90"/>
    </row>
    <row r="399" spans="21:21">
      <c r="U399" s="90"/>
    </row>
    <row r="400" spans="21:21">
      <c r="U400" s="90"/>
    </row>
    <row r="401" spans="21:21">
      <c r="U401" s="90"/>
    </row>
    <row r="402" spans="21:21">
      <c r="U402" s="90"/>
    </row>
    <row r="403" spans="21:21">
      <c r="U403" s="90"/>
    </row>
    <row r="404" spans="21:21">
      <c r="U404" s="90"/>
    </row>
    <row r="405" spans="21:21">
      <c r="U405" s="90"/>
    </row>
    <row r="406" spans="21:21">
      <c r="U406" s="90"/>
    </row>
    <row r="407" spans="21:21">
      <c r="U407" s="90"/>
    </row>
    <row r="408" spans="21:21">
      <c r="U408" s="90"/>
    </row>
    <row r="409" spans="21:21">
      <c r="U409" s="90"/>
    </row>
    <row r="410" spans="21:21">
      <c r="U410" s="90"/>
    </row>
    <row r="411" spans="21:21">
      <c r="U411" s="90"/>
    </row>
    <row r="412" spans="21:21">
      <c r="U412" s="90"/>
    </row>
    <row r="413" spans="21:21">
      <c r="U413" s="90"/>
    </row>
    <row r="414" spans="21:21">
      <c r="U414" s="90"/>
    </row>
    <row r="415" spans="21:21">
      <c r="U415" s="90"/>
    </row>
    <row r="416" spans="21:21">
      <c r="U416" s="90"/>
    </row>
    <row r="417" spans="21:21">
      <c r="U417" s="90"/>
    </row>
    <row r="418" spans="21:21">
      <c r="U418" s="90"/>
    </row>
    <row r="419" spans="21:21">
      <c r="U419" s="90"/>
    </row>
    <row r="420" spans="21:21">
      <c r="U420" s="90"/>
    </row>
    <row r="421" spans="21:21">
      <c r="U421" s="90"/>
    </row>
    <row r="422" spans="21:21">
      <c r="U422" s="90"/>
    </row>
    <row r="423" spans="21:21">
      <c r="U423" s="90"/>
    </row>
    <row r="424" spans="21:21">
      <c r="U424" s="90"/>
    </row>
    <row r="425" spans="21:21">
      <c r="U425" s="90"/>
    </row>
    <row r="426" spans="21:21">
      <c r="U426" s="90"/>
    </row>
    <row r="427" spans="21:21">
      <c r="U427" s="90"/>
    </row>
    <row r="428" spans="21:21">
      <c r="U428" s="90"/>
    </row>
    <row r="429" spans="21:21">
      <c r="U429" s="90"/>
    </row>
    <row r="430" spans="21:21">
      <c r="U430" s="90"/>
    </row>
    <row r="431" spans="21:21">
      <c r="U431" s="90"/>
    </row>
    <row r="432" spans="21:21">
      <c r="U432" s="90"/>
    </row>
    <row r="433" spans="21:21">
      <c r="U433" s="90"/>
    </row>
    <row r="434" spans="21:21">
      <c r="U434" s="90"/>
    </row>
    <row r="435" spans="21:21">
      <c r="U435" s="90"/>
    </row>
    <row r="436" spans="21:21">
      <c r="U436" s="90"/>
    </row>
    <row r="437" spans="21:21">
      <c r="U437" s="90"/>
    </row>
    <row r="438" spans="21:21">
      <c r="U438" s="90"/>
    </row>
    <row r="439" spans="21:21">
      <c r="U439" s="90"/>
    </row>
    <row r="440" spans="21:21">
      <c r="U440" s="90"/>
    </row>
    <row r="441" spans="21:21">
      <c r="U441" s="90"/>
    </row>
    <row r="442" spans="21:21">
      <c r="U442" s="90"/>
    </row>
    <row r="443" spans="21:21">
      <c r="U443" s="90"/>
    </row>
    <row r="444" spans="21:21">
      <c r="U444" s="90"/>
    </row>
    <row r="445" spans="21:21">
      <c r="U445" s="90"/>
    </row>
    <row r="446" spans="21:21">
      <c r="U446" s="90"/>
    </row>
    <row r="447" spans="21:21">
      <c r="U447" s="90"/>
    </row>
    <row r="448" spans="21:21">
      <c r="U448" s="90"/>
    </row>
    <row r="449" spans="21:21">
      <c r="U449" s="90"/>
    </row>
    <row r="450" spans="21:21">
      <c r="U450" s="90"/>
    </row>
    <row r="451" spans="21:21">
      <c r="U451" s="90"/>
    </row>
    <row r="452" spans="21:21">
      <c r="U452" s="90"/>
    </row>
    <row r="453" spans="21:21">
      <c r="U453" s="90"/>
    </row>
    <row r="454" spans="21:21">
      <c r="U454" s="90"/>
    </row>
    <row r="455" spans="21:21">
      <c r="U455" s="90"/>
    </row>
    <row r="456" spans="21:21">
      <c r="U456" s="90"/>
    </row>
    <row r="457" spans="21:21">
      <c r="U457" s="90"/>
    </row>
    <row r="458" spans="21:21">
      <c r="U458" s="90"/>
    </row>
    <row r="459" spans="21:21">
      <c r="U459" s="90"/>
    </row>
    <row r="460" spans="21:21">
      <c r="U460" s="90"/>
    </row>
    <row r="461" spans="21:21">
      <c r="U461" s="90"/>
    </row>
    <row r="462" spans="21:21">
      <c r="U462" s="90"/>
    </row>
    <row r="463" spans="21:21">
      <c r="U463" s="90"/>
    </row>
    <row r="464" spans="21:21">
      <c r="U464" s="90"/>
    </row>
    <row r="465" spans="21:21">
      <c r="U465" s="90"/>
    </row>
    <row r="466" spans="21:21">
      <c r="U466" s="90"/>
    </row>
    <row r="467" spans="21:21">
      <c r="U467" s="90"/>
    </row>
    <row r="468" spans="21:21">
      <c r="U468" s="90"/>
    </row>
    <row r="469" spans="21:21">
      <c r="U469" s="90"/>
    </row>
    <row r="470" spans="21:21">
      <c r="U470" s="90"/>
    </row>
    <row r="471" spans="21:21">
      <c r="U471" s="90"/>
    </row>
    <row r="472" spans="21:21">
      <c r="U472" s="90"/>
    </row>
    <row r="473" spans="21:21">
      <c r="U473" s="90"/>
    </row>
    <row r="474" spans="21:21">
      <c r="U474" s="90"/>
    </row>
    <row r="475" spans="21:21">
      <c r="U475" s="90"/>
    </row>
    <row r="476" spans="21:21">
      <c r="U476" s="90"/>
    </row>
    <row r="477" spans="21:21">
      <c r="U477" s="90"/>
    </row>
    <row r="478" spans="21:21">
      <c r="U478" s="90"/>
    </row>
    <row r="479" spans="21:21">
      <c r="U479" s="90"/>
    </row>
    <row r="480" spans="21:21">
      <c r="U480" s="90"/>
    </row>
    <row r="481" spans="21:21">
      <c r="U481" s="90"/>
    </row>
    <row r="482" spans="21:21">
      <c r="U482" s="90"/>
    </row>
    <row r="483" spans="21:21">
      <c r="U483" s="90"/>
    </row>
    <row r="484" spans="21:21">
      <c r="U484" s="90"/>
    </row>
    <row r="485" spans="21:21">
      <c r="U485" s="90"/>
    </row>
    <row r="486" spans="21:21">
      <c r="U486" s="90"/>
    </row>
    <row r="487" spans="21:21">
      <c r="U487" s="90"/>
    </row>
    <row r="488" spans="21:21">
      <c r="U488" s="90"/>
    </row>
    <row r="489" spans="21:21">
      <c r="U489" s="90"/>
    </row>
    <row r="490" spans="21:21">
      <c r="U490" s="90"/>
    </row>
    <row r="491" spans="21:21">
      <c r="U491" s="90"/>
    </row>
    <row r="492" spans="21:21">
      <c r="U492" s="90"/>
    </row>
    <row r="493" spans="21:21">
      <c r="U493" s="90"/>
    </row>
    <row r="494" spans="21:21">
      <c r="U494" s="90"/>
    </row>
    <row r="495" spans="21:21">
      <c r="U495" s="90"/>
    </row>
    <row r="496" spans="21:21">
      <c r="U496" s="90"/>
    </row>
    <row r="497" spans="21:21">
      <c r="U497" s="90"/>
    </row>
    <row r="498" spans="21:21">
      <c r="U498" s="90"/>
    </row>
    <row r="499" spans="21:21">
      <c r="U499" s="90"/>
    </row>
    <row r="500" spans="21:21">
      <c r="U500" s="90"/>
    </row>
    <row r="501" spans="21:21">
      <c r="U501" s="90"/>
    </row>
    <row r="502" spans="21:21">
      <c r="U502" s="90"/>
    </row>
    <row r="503" spans="21:21">
      <c r="U503" s="90"/>
    </row>
    <row r="504" spans="21:21">
      <c r="U504" s="90"/>
    </row>
    <row r="505" spans="21:21">
      <c r="U505" s="90"/>
    </row>
    <row r="506" spans="21:21">
      <c r="U506" s="90"/>
    </row>
    <row r="507" spans="21:21">
      <c r="U507" s="90"/>
    </row>
    <row r="508" spans="21:21">
      <c r="U508" s="90"/>
    </row>
    <row r="509" spans="21:21">
      <c r="U509" s="90"/>
    </row>
    <row r="510" spans="21:21">
      <c r="U510" s="90"/>
    </row>
    <row r="511" spans="21:21">
      <c r="U511" s="90"/>
    </row>
    <row r="512" spans="21:21">
      <c r="U512" s="90"/>
    </row>
    <row r="513" spans="21:21">
      <c r="U513" s="90"/>
    </row>
    <row r="514" spans="21:21">
      <c r="U514" s="90"/>
    </row>
    <row r="515" spans="21:21">
      <c r="U515" s="90"/>
    </row>
    <row r="516" spans="21:21">
      <c r="U516" s="90"/>
    </row>
    <row r="517" spans="21:21">
      <c r="U517" s="90"/>
    </row>
    <row r="518" spans="21:21">
      <c r="U518" s="90"/>
    </row>
    <row r="519" spans="21:21">
      <c r="U519" s="90"/>
    </row>
    <row r="520" spans="21:21">
      <c r="U520" s="90"/>
    </row>
    <row r="521" spans="21:21">
      <c r="U521" s="90"/>
    </row>
    <row r="522" spans="21:21">
      <c r="U522" s="90"/>
    </row>
    <row r="523" spans="21:21">
      <c r="U523" s="90"/>
    </row>
    <row r="524" spans="21:21">
      <c r="U524" s="90"/>
    </row>
    <row r="525" spans="21:21">
      <c r="U525" s="90"/>
    </row>
    <row r="526" spans="21:21">
      <c r="U526" s="90"/>
    </row>
    <row r="527" spans="21:21">
      <c r="U527" s="90"/>
    </row>
    <row r="528" spans="21:21">
      <c r="U528" s="90"/>
    </row>
    <row r="529" spans="21:21">
      <c r="U529" s="90"/>
    </row>
    <row r="530" spans="21:21">
      <c r="U530" s="90"/>
    </row>
    <row r="531" spans="21:21">
      <c r="U531" s="90"/>
    </row>
    <row r="532" spans="21:21">
      <c r="U532" s="90"/>
    </row>
    <row r="533" spans="21:21">
      <c r="U533" s="90"/>
    </row>
    <row r="534" spans="21:21">
      <c r="U534" s="90"/>
    </row>
    <row r="535" spans="21:21">
      <c r="U535" s="90"/>
    </row>
    <row r="536" spans="21:21">
      <c r="U536" s="90"/>
    </row>
    <row r="537" spans="21:21">
      <c r="U537" s="90"/>
    </row>
    <row r="538" spans="21:21">
      <c r="U538" s="90"/>
    </row>
    <row r="539" spans="21:21">
      <c r="U539" s="90"/>
    </row>
    <row r="540" spans="21:21">
      <c r="U540" s="90"/>
    </row>
    <row r="541" spans="21:21">
      <c r="U541" s="90"/>
    </row>
    <row r="542" spans="21:21">
      <c r="U542" s="90"/>
    </row>
    <row r="543" spans="21:21">
      <c r="U543" s="90"/>
    </row>
    <row r="544" spans="21:21">
      <c r="U544" s="90"/>
    </row>
    <row r="545" spans="21:21">
      <c r="U545" s="90"/>
    </row>
    <row r="546" spans="21:21">
      <c r="U546" s="90"/>
    </row>
    <row r="547" spans="21:21">
      <c r="U547" s="90"/>
    </row>
    <row r="548" spans="21:21">
      <c r="U548" s="90"/>
    </row>
    <row r="549" spans="21:21">
      <c r="U549" s="90"/>
    </row>
    <row r="550" spans="21:21">
      <c r="U550" s="90"/>
    </row>
    <row r="551" spans="21:21">
      <c r="U551" s="90"/>
    </row>
    <row r="552" spans="21:21">
      <c r="U552" s="90"/>
    </row>
    <row r="553" spans="21:21">
      <c r="U553" s="90"/>
    </row>
    <row r="554" spans="21:21">
      <c r="U554" s="90"/>
    </row>
    <row r="555" spans="21:21">
      <c r="U555" s="90"/>
    </row>
    <row r="556" spans="21:21">
      <c r="U556" s="90"/>
    </row>
    <row r="557" spans="21:21">
      <c r="U557" s="90"/>
    </row>
    <row r="558" spans="21:21">
      <c r="U558" s="90"/>
    </row>
    <row r="559" spans="21:21">
      <c r="U559" s="90"/>
    </row>
    <row r="560" spans="21:21">
      <c r="U560" s="90"/>
    </row>
    <row r="561" spans="21:21">
      <c r="U561" s="90"/>
    </row>
    <row r="562" spans="21:21">
      <c r="U562" s="90"/>
    </row>
    <row r="563" spans="21:21">
      <c r="U563" s="90"/>
    </row>
    <row r="564" spans="21:21">
      <c r="U564" s="90"/>
    </row>
    <row r="565" spans="21:21">
      <c r="U565" s="90"/>
    </row>
    <row r="566" spans="21:21">
      <c r="U566" s="90"/>
    </row>
    <row r="567" spans="21:21">
      <c r="U567" s="90"/>
    </row>
    <row r="568" spans="21:21">
      <c r="U568" s="90"/>
    </row>
    <row r="569" spans="21:21">
      <c r="U569" s="90"/>
    </row>
    <row r="570" spans="21:21">
      <c r="U570" s="90"/>
    </row>
    <row r="571" spans="21:21">
      <c r="U571" s="90"/>
    </row>
    <row r="572" spans="21:21">
      <c r="U572" s="90"/>
    </row>
    <row r="573" spans="21:21">
      <c r="U573" s="90"/>
    </row>
    <row r="574" spans="21:21">
      <c r="U574" s="90"/>
    </row>
    <row r="575" spans="21:21">
      <c r="U575" s="90"/>
    </row>
    <row r="576" spans="21:21">
      <c r="U576" s="90"/>
    </row>
    <row r="577" spans="21:21">
      <c r="U577" s="90"/>
    </row>
    <row r="578" spans="21:21">
      <c r="U578" s="90"/>
    </row>
    <row r="579" spans="21:21">
      <c r="U579" s="90"/>
    </row>
    <row r="580" spans="21:21">
      <c r="U580" s="90"/>
    </row>
    <row r="581" spans="21:21">
      <c r="U581" s="90"/>
    </row>
    <row r="582" spans="21:21">
      <c r="U582" s="90"/>
    </row>
    <row r="583" spans="21:21">
      <c r="U583" s="90"/>
    </row>
    <row r="584" spans="21:21">
      <c r="U584" s="90"/>
    </row>
    <row r="585" spans="21:21">
      <c r="U585" s="90"/>
    </row>
    <row r="586" spans="21:21">
      <c r="U586" s="90"/>
    </row>
    <row r="587" spans="21:21">
      <c r="U587" s="90"/>
    </row>
    <row r="588" spans="21:21">
      <c r="U588" s="90"/>
    </row>
    <row r="589" spans="21:21">
      <c r="U589" s="90"/>
    </row>
    <row r="590" spans="21:21">
      <c r="U590" s="90"/>
    </row>
    <row r="591" spans="21:21">
      <c r="U591" s="90"/>
    </row>
    <row r="592" spans="21:21">
      <c r="U592" s="90"/>
    </row>
    <row r="593" spans="21:21">
      <c r="U593" s="90"/>
    </row>
    <row r="594" spans="21:21">
      <c r="U594" s="90"/>
    </row>
    <row r="595" spans="21:21">
      <c r="U595" s="90"/>
    </row>
    <row r="596" spans="21:21">
      <c r="U596" s="90"/>
    </row>
    <row r="597" spans="21:21">
      <c r="U597" s="90"/>
    </row>
    <row r="598" spans="21:21">
      <c r="U598" s="90"/>
    </row>
    <row r="599" spans="21:21">
      <c r="U599" s="90"/>
    </row>
    <row r="600" spans="21:21">
      <c r="U600" s="90"/>
    </row>
    <row r="601" spans="21:21">
      <c r="U601" s="90"/>
    </row>
    <row r="602" spans="21:21">
      <c r="U602" s="90"/>
    </row>
    <row r="603" spans="21:21">
      <c r="U603" s="90"/>
    </row>
    <row r="604" spans="21:21">
      <c r="U604" s="90"/>
    </row>
    <row r="605" spans="21:21">
      <c r="U605" s="90"/>
    </row>
    <row r="606" spans="21:21">
      <c r="U606" s="90"/>
    </row>
    <row r="607" spans="21:21">
      <c r="U607" s="90"/>
    </row>
    <row r="608" spans="21:21">
      <c r="U608" s="90"/>
    </row>
    <row r="609" spans="21:21">
      <c r="U609" s="90"/>
    </row>
    <row r="610" spans="21:21">
      <c r="U610" s="90"/>
    </row>
    <row r="611" spans="21:21">
      <c r="U611" s="90"/>
    </row>
    <row r="612" spans="21:21">
      <c r="U612" s="90"/>
    </row>
    <row r="613" spans="21:21">
      <c r="U613" s="90"/>
    </row>
    <row r="614" spans="21:21">
      <c r="U614" s="90"/>
    </row>
    <row r="615" spans="21:21">
      <c r="U615" s="90"/>
    </row>
    <row r="616" spans="21:21">
      <c r="U616" s="90"/>
    </row>
    <row r="617" spans="21:21">
      <c r="U617" s="90"/>
    </row>
    <row r="618" spans="21:21">
      <c r="U618" s="90"/>
    </row>
    <row r="619" spans="21:21">
      <c r="U619" s="90"/>
    </row>
    <row r="620" spans="21:21">
      <c r="U620" s="90"/>
    </row>
    <row r="621" spans="21:21">
      <c r="U621" s="90"/>
    </row>
    <row r="622" spans="21:21">
      <c r="U622" s="90"/>
    </row>
    <row r="623" spans="21:21">
      <c r="U623" s="90"/>
    </row>
    <row r="624" spans="21:21">
      <c r="U624" s="90"/>
    </row>
    <row r="625" spans="21:21">
      <c r="U625" s="90"/>
    </row>
    <row r="626" spans="21:21">
      <c r="U626" s="90"/>
    </row>
    <row r="627" spans="21:21">
      <c r="U627" s="90"/>
    </row>
    <row r="628" spans="21:21">
      <c r="U628" s="90"/>
    </row>
    <row r="629" spans="21:21">
      <c r="U629" s="90"/>
    </row>
    <row r="630" spans="21:21">
      <c r="U630" s="90"/>
    </row>
    <row r="631" spans="21:21">
      <c r="U631" s="90"/>
    </row>
    <row r="632" spans="21:21">
      <c r="U632" s="90"/>
    </row>
    <row r="633" spans="21:21">
      <c r="U633" s="90"/>
    </row>
    <row r="634" spans="21:21">
      <c r="U634" s="90"/>
    </row>
    <row r="635" spans="21:21">
      <c r="U635" s="90"/>
    </row>
    <row r="636" spans="21:21">
      <c r="U636" s="90"/>
    </row>
    <row r="637" spans="21:21">
      <c r="U637" s="90"/>
    </row>
    <row r="638" spans="21:21">
      <c r="U638" s="90"/>
    </row>
    <row r="639" spans="21:21">
      <c r="U639" s="90"/>
    </row>
    <row r="640" spans="21:21">
      <c r="U640" s="90"/>
    </row>
    <row r="641" spans="21:21">
      <c r="U641" s="90"/>
    </row>
    <row r="642" spans="21:21">
      <c r="U642" s="90"/>
    </row>
    <row r="643" spans="21:21">
      <c r="U643" s="90"/>
    </row>
    <row r="644" spans="21:21">
      <c r="U644" s="90"/>
    </row>
    <row r="645" spans="21:21">
      <c r="U645" s="90"/>
    </row>
    <row r="646" spans="21:21">
      <c r="U646" s="90"/>
    </row>
    <row r="647" spans="21:21">
      <c r="U647" s="90"/>
    </row>
    <row r="648" spans="21:21">
      <c r="U648" s="90"/>
    </row>
    <row r="649" spans="21:21">
      <c r="U649" s="90"/>
    </row>
    <row r="650" spans="21:21">
      <c r="U650" s="90"/>
    </row>
    <row r="651" spans="21:21">
      <c r="U651" s="90"/>
    </row>
    <row r="652" spans="21:21">
      <c r="U652" s="90"/>
    </row>
    <row r="653" spans="21:21">
      <c r="U653" s="90"/>
    </row>
    <row r="654" spans="21:21">
      <c r="U654" s="90"/>
    </row>
    <row r="655" spans="21:21">
      <c r="U655" s="90"/>
    </row>
    <row r="656" spans="21:21">
      <c r="U656" s="90"/>
    </row>
    <row r="657" spans="21:21">
      <c r="U657" s="90"/>
    </row>
    <row r="658" spans="21:21">
      <c r="U658" s="90"/>
    </row>
    <row r="659" spans="21:21">
      <c r="U659" s="90"/>
    </row>
    <row r="660" spans="21:21">
      <c r="U660" s="90"/>
    </row>
    <row r="661" spans="21:21">
      <c r="U661" s="90"/>
    </row>
    <row r="662" spans="21:21">
      <c r="U662" s="90"/>
    </row>
    <row r="663" spans="21:21">
      <c r="U663" s="90"/>
    </row>
    <row r="664" spans="21:21">
      <c r="U664" s="90"/>
    </row>
    <row r="665" spans="21:21">
      <c r="U665" s="90"/>
    </row>
    <row r="666" spans="21:21">
      <c r="U666" s="90"/>
    </row>
    <row r="667" spans="21:21">
      <c r="U667" s="90"/>
    </row>
    <row r="668" spans="21:21">
      <c r="U668" s="90"/>
    </row>
    <row r="669" spans="21:21">
      <c r="U669" s="90"/>
    </row>
    <row r="670" spans="21:21">
      <c r="U670" s="90"/>
    </row>
    <row r="671" spans="21:21">
      <c r="U671" s="90"/>
    </row>
    <row r="672" spans="21:21">
      <c r="U672" s="90"/>
    </row>
    <row r="673" spans="21:21">
      <c r="U673" s="90"/>
    </row>
    <row r="674" spans="21:21">
      <c r="U674" s="90"/>
    </row>
    <row r="675" spans="21:21">
      <c r="U675" s="90"/>
    </row>
    <row r="676" spans="21:21">
      <c r="U676" s="90"/>
    </row>
    <row r="677" spans="21:21">
      <c r="U677" s="90"/>
    </row>
    <row r="678" spans="21:21">
      <c r="U678" s="90"/>
    </row>
    <row r="679" spans="21:21">
      <c r="U679" s="90"/>
    </row>
    <row r="680" spans="21:21">
      <c r="U680" s="90"/>
    </row>
    <row r="681" spans="21:21">
      <c r="U681" s="90"/>
    </row>
    <row r="682" spans="21:21">
      <c r="U682" s="90"/>
    </row>
    <row r="683" spans="21:21">
      <c r="U683" s="90"/>
    </row>
    <row r="684" spans="21:21">
      <c r="U684" s="90"/>
    </row>
    <row r="685" spans="21:21">
      <c r="U685" s="90"/>
    </row>
    <row r="686" spans="21:21">
      <c r="U686" s="90"/>
    </row>
    <row r="687" spans="21:21">
      <c r="U687" s="90"/>
    </row>
    <row r="688" spans="21:21">
      <c r="U688" s="90"/>
    </row>
    <row r="689" spans="21:21">
      <c r="U689" s="90"/>
    </row>
    <row r="690" spans="21:21">
      <c r="U690" s="90"/>
    </row>
    <row r="691" spans="21:21">
      <c r="U691" s="90"/>
    </row>
    <row r="692" spans="21:21">
      <c r="U692" s="90"/>
    </row>
    <row r="693" spans="21:21">
      <c r="U693" s="90"/>
    </row>
    <row r="694" spans="21:21">
      <c r="U694" s="90"/>
    </row>
    <row r="695" spans="21:21">
      <c r="U695" s="90"/>
    </row>
    <row r="696" spans="21:21">
      <c r="U696" s="90"/>
    </row>
    <row r="697" spans="21:21">
      <c r="U697" s="90"/>
    </row>
    <row r="698" spans="21:21">
      <c r="U698" s="90"/>
    </row>
    <row r="699" spans="21:21">
      <c r="U699" s="90"/>
    </row>
    <row r="700" spans="21:21">
      <c r="U700" s="90"/>
    </row>
    <row r="701" spans="21:21">
      <c r="U701" s="90"/>
    </row>
    <row r="702" spans="21:21">
      <c r="U702" s="90"/>
    </row>
    <row r="703" spans="21:21">
      <c r="U703" s="90"/>
    </row>
    <row r="704" spans="21:21">
      <c r="U704" s="90"/>
    </row>
    <row r="705" spans="21:21">
      <c r="U705" s="90"/>
    </row>
    <row r="706" spans="21:21">
      <c r="U706" s="90"/>
    </row>
    <row r="707" spans="21:21">
      <c r="U707" s="90"/>
    </row>
    <row r="708" spans="21:21">
      <c r="U708" s="90"/>
    </row>
    <row r="709" spans="21:21">
      <c r="U709" s="90"/>
    </row>
    <row r="710" spans="21:21">
      <c r="U710" s="90"/>
    </row>
    <row r="711" spans="21:21">
      <c r="U711" s="90"/>
    </row>
    <row r="712" spans="21:21">
      <c r="U712" s="90"/>
    </row>
    <row r="713" spans="21:21">
      <c r="U713" s="90"/>
    </row>
    <row r="714" spans="21:21">
      <c r="U714" s="90"/>
    </row>
    <row r="715" spans="21:21">
      <c r="U715" s="90"/>
    </row>
    <row r="716" spans="21:21">
      <c r="U716" s="90"/>
    </row>
    <row r="717" spans="21:21">
      <c r="U717" s="90"/>
    </row>
    <row r="718" spans="21:21">
      <c r="U718" s="90"/>
    </row>
    <row r="719" spans="21:21">
      <c r="U719" s="90"/>
    </row>
    <row r="720" spans="21:21">
      <c r="U720" s="90"/>
    </row>
    <row r="721" spans="21:21">
      <c r="U721" s="90"/>
    </row>
    <row r="722" spans="21:21">
      <c r="U722" s="90"/>
    </row>
    <row r="723" spans="21:21">
      <c r="U723" s="90"/>
    </row>
    <row r="724" spans="21:21">
      <c r="U724" s="90"/>
    </row>
  </sheetData>
  <sheetCalcPr fullCalcOnLoad="1"/>
  <phoneticPr fontId="0" type="noConversion"/>
  <pageMargins left="0.75" right="0.75" top="1" bottom="1" header="0.5" footer="0.5"/>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P180"/>
  <sheetViews>
    <sheetView workbookViewId="0">
      <pane xSplit="1" ySplit="1" topLeftCell="B93" activePane="bottomRight" state="frozenSplit"/>
      <selection pane="topRight"/>
      <selection pane="bottomLeft" activeCell="A2" sqref="A2"/>
      <selection pane="bottomRight"/>
    </sheetView>
  </sheetViews>
  <sheetFormatPr baseColWidth="10" defaultColWidth="11" defaultRowHeight="13"/>
  <cols>
    <col min="2" max="2" width="11" style="90"/>
    <col min="43" max="43" width="8.1640625" customWidth="1"/>
    <col min="44" max="52" width="8.6640625" customWidth="1"/>
    <col min="53" max="53" width="11" style="90"/>
    <col min="60" max="60" width="13.1640625" customWidth="1"/>
  </cols>
  <sheetData>
    <row r="1" spans="1:68">
      <c r="A1" s="88" t="s">
        <v>976</v>
      </c>
      <c r="B1" s="5" t="s">
        <v>1398</v>
      </c>
      <c r="C1" s="88" t="s">
        <v>2103</v>
      </c>
      <c r="D1" s="88" t="s">
        <v>1099</v>
      </c>
      <c r="E1" s="148" t="s">
        <v>2071</v>
      </c>
      <c r="F1" s="148" t="s">
        <v>2350</v>
      </c>
      <c r="G1" s="148" t="s">
        <v>2351</v>
      </c>
      <c r="H1" s="148" t="s">
        <v>1954</v>
      </c>
      <c r="I1" s="148" t="s">
        <v>1955</v>
      </c>
      <c r="J1" s="148" t="s">
        <v>1956</v>
      </c>
      <c r="K1" s="148" t="s">
        <v>1402</v>
      </c>
      <c r="L1" s="148" t="s">
        <v>1278</v>
      </c>
      <c r="M1" s="148" t="s">
        <v>801</v>
      </c>
      <c r="N1" s="148" t="s">
        <v>2059</v>
      </c>
      <c r="O1" s="5" t="s">
        <v>1768</v>
      </c>
      <c r="P1" s="148" t="s">
        <v>2105</v>
      </c>
      <c r="Q1" s="148" t="s">
        <v>1125</v>
      </c>
      <c r="R1" s="148" t="s">
        <v>1126</v>
      </c>
      <c r="S1" s="148" t="s">
        <v>1127</v>
      </c>
      <c r="T1" s="148" t="s">
        <v>1128</v>
      </c>
      <c r="U1" s="148" t="s">
        <v>1129</v>
      </c>
      <c r="V1" s="148" t="s">
        <v>1130</v>
      </c>
      <c r="W1" s="5" t="s">
        <v>2102</v>
      </c>
      <c r="X1" s="5" t="s">
        <v>1868</v>
      </c>
      <c r="Y1" s="5" t="s">
        <v>1869</v>
      </c>
      <c r="Z1" s="5" t="s">
        <v>1870</v>
      </c>
      <c r="AA1" s="5" t="s">
        <v>1860</v>
      </c>
      <c r="AB1" s="5" t="s">
        <v>2215</v>
      </c>
      <c r="AC1" s="5" t="s">
        <v>2216</v>
      </c>
      <c r="AD1" s="5" t="s">
        <v>2348</v>
      </c>
      <c r="AE1" s="5" t="s">
        <v>1393</v>
      </c>
      <c r="AF1" s="5" t="s">
        <v>2164</v>
      </c>
      <c r="AG1" s="5" t="s">
        <v>2165</v>
      </c>
      <c r="AH1" s="5" t="s">
        <v>2166</v>
      </c>
      <c r="AI1" s="5" t="s">
        <v>2167</v>
      </c>
      <c r="AJ1" s="5" t="s">
        <v>2168</v>
      </c>
      <c r="AK1" s="5" t="s">
        <v>1728</v>
      </c>
      <c r="AL1" s="5" t="s">
        <v>1729</v>
      </c>
      <c r="AM1" s="5" t="s">
        <v>1730</v>
      </c>
      <c r="AN1" s="5" t="s">
        <v>1947</v>
      </c>
      <c r="AO1" s="5" t="s">
        <v>1403</v>
      </c>
      <c r="AP1" s="5" t="s">
        <v>1948</v>
      </c>
      <c r="AQ1" s="5" t="s">
        <v>1403</v>
      </c>
      <c r="AR1" s="5" t="s">
        <v>1985</v>
      </c>
      <c r="AS1" s="5" t="s">
        <v>1403</v>
      </c>
      <c r="AT1" s="5" t="s">
        <v>1986</v>
      </c>
      <c r="AU1" s="5" t="s">
        <v>1403</v>
      </c>
      <c r="AV1" s="5" t="s">
        <v>1987</v>
      </c>
      <c r="AW1" s="5" t="s">
        <v>1403</v>
      </c>
      <c r="AX1" s="5" t="s">
        <v>1965</v>
      </c>
      <c r="AY1" s="5" t="s">
        <v>1707</v>
      </c>
      <c r="AZ1" s="5"/>
      <c r="BA1" s="88"/>
      <c r="BB1" s="88"/>
      <c r="BC1" s="88"/>
      <c r="BD1" s="88"/>
      <c r="BE1" s="88"/>
      <c r="BF1" s="88"/>
      <c r="BG1" s="88"/>
      <c r="BH1" s="88"/>
      <c r="BI1" s="88"/>
      <c r="BJ1" s="88"/>
      <c r="BK1" s="88"/>
      <c r="BL1" s="88"/>
      <c r="BM1" s="88"/>
      <c r="BN1" s="88"/>
      <c r="BO1" s="88"/>
      <c r="BP1" s="88"/>
    </row>
    <row r="2" spans="1:68">
      <c r="A2" t="s">
        <v>223</v>
      </c>
      <c r="B2" s="90" t="s">
        <v>334</v>
      </c>
      <c r="C2" t="s">
        <v>2277</v>
      </c>
      <c r="D2" t="s">
        <v>1619</v>
      </c>
      <c r="E2" s="90">
        <v>0</v>
      </c>
      <c r="F2" s="90">
        <v>0</v>
      </c>
      <c r="G2" s="90">
        <v>0</v>
      </c>
      <c r="H2" s="90">
        <v>0</v>
      </c>
      <c r="I2" s="90">
        <v>0</v>
      </c>
      <c r="J2" s="90">
        <v>0</v>
      </c>
      <c r="K2" s="90">
        <v>0</v>
      </c>
      <c r="L2" s="90">
        <v>0</v>
      </c>
      <c r="M2" s="90">
        <v>15</v>
      </c>
      <c r="N2" s="90">
        <v>0</v>
      </c>
      <c r="O2" s="90">
        <v>3</v>
      </c>
      <c r="P2" s="90">
        <v>-8</v>
      </c>
      <c r="Q2" s="90" t="s">
        <v>1943</v>
      </c>
      <c r="R2" s="90" t="s">
        <v>1943</v>
      </c>
      <c r="S2" s="90" t="s">
        <v>1943</v>
      </c>
      <c r="T2" s="90" t="s">
        <v>1943</v>
      </c>
      <c r="U2" s="90" t="s">
        <v>1943</v>
      </c>
      <c r="V2" s="90" t="s">
        <v>1943</v>
      </c>
      <c r="W2" s="168" t="s">
        <v>224</v>
      </c>
      <c r="X2" s="90" t="s">
        <v>1514</v>
      </c>
      <c r="Y2" s="90" t="s">
        <v>2278</v>
      </c>
      <c r="Z2" s="90" t="s">
        <v>2278</v>
      </c>
      <c r="AA2" s="90" t="s">
        <v>1977</v>
      </c>
      <c r="AB2" s="90" t="s">
        <v>1977</v>
      </c>
      <c r="AC2" s="90" t="s">
        <v>1977</v>
      </c>
      <c r="AD2" s="99">
        <v>10</v>
      </c>
      <c r="AE2" s="99">
        <v>10</v>
      </c>
      <c r="AF2" s="90" t="s">
        <v>1977</v>
      </c>
      <c r="AG2" s="90" t="s">
        <v>1977</v>
      </c>
      <c r="AH2" s="90" t="s">
        <v>1977</v>
      </c>
      <c r="AI2" s="90" t="s">
        <v>1977</v>
      </c>
      <c r="AJ2" s="90" t="s">
        <v>1977</v>
      </c>
      <c r="AK2" s="90" t="s">
        <v>1977</v>
      </c>
      <c r="AL2" s="90" t="s">
        <v>1977</v>
      </c>
      <c r="AM2" s="90" t="s">
        <v>1977</v>
      </c>
      <c r="AN2" s="90" t="s">
        <v>1977</v>
      </c>
      <c r="AO2" s="90" t="s">
        <v>1977</v>
      </c>
      <c r="AP2" s="90" t="s">
        <v>1977</v>
      </c>
      <c r="AQ2" s="90" t="s">
        <v>1977</v>
      </c>
      <c r="AR2" s="90" t="s">
        <v>1977</v>
      </c>
      <c r="AS2" s="90" t="s">
        <v>1977</v>
      </c>
      <c r="AT2" s="90" t="s">
        <v>1977</v>
      </c>
      <c r="AU2" s="90" t="s">
        <v>1977</v>
      </c>
      <c r="AV2" s="90" t="s">
        <v>1977</v>
      </c>
      <c r="AW2" s="90" t="s">
        <v>1977</v>
      </c>
      <c r="AX2" s="90">
        <v>75</v>
      </c>
      <c r="AY2" s="90">
        <v>0</v>
      </c>
      <c r="AZ2" t="s">
        <v>225</v>
      </c>
      <c r="BA2" t="s">
        <v>226</v>
      </c>
      <c r="BB2" t="s">
        <v>223</v>
      </c>
      <c r="BC2" t="s">
        <v>2277</v>
      </c>
      <c r="BD2" t="s">
        <v>334</v>
      </c>
      <c r="BE2" t="s">
        <v>1619</v>
      </c>
      <c r="BF2">
        <v>3</v>
      </c>
      <c r="BG2" t="s">
        <v>330</v>
      </c>
      <c r="BH2">
        <v>5</v>
      </c>
      <c r="BI2">
        <v>75</v>
      </c>
      <c r="BJ2" t="s">
        <v>1943</v>
      </c>
      <c r="BK2">
        <v>0</v>
      </c>
      <c r="BL2">
        <v>2</v>
      </c>
      <c r="BM2">
        <v>5</v>
      </c>
      <c r="BN2">
        <v>1</v>
      </c>
      <c r="BO2">
        <v>0</v>
      </c>
    </row>
    <row r="3" spans="1:68">
      <c r="A3" t="s">
        <v>227</v>
      </c>
      <c r="B3" s="90">
        <v>1</v>
      </c>
      <c r="C3" t="s">
        <v>1022</v>
      </c>
      <c r="D3" t="s">
        <v>2003</v>
      </c>
      <c r="E3" s="90">
        <v>0</v>
      </c>
      <c r="F3" s="90">
        <v>0</v>
      </c>
      <c r="G3" s="90">
        <v>0</v>
      </c>
      <c r="H3" s="90">
        <v>0</v>
      </c>
      <c r="I3" s="90">
        <v>0</v>
      </c>
      <c r="J3" s="90">
        <v>0</v>
      </c>
      <c r="K3" s="90">
        <v>0</v>
      </c>
      <c r="L3" s="90">
        <v>0</v>
      </c>
      <c r="M3" s="90">
        <v>15</v>
      </c>
      <c r="N3" s="90">
        <v>0</v>
      </c>
      <c r="O3" s="90">
        <v>10</v>
      </c>
      <c r="P3" s="90">
        <v>0</v>
      </c>
      <c r="Q3" s="90" t="s">
        <v>1943</v>
      </c>
      <c r="R3" s="90" t="s">
        <v>1943</v>
      </c>
      <c r="S3" s="90" t="s">
        <v>1943</v>
      </c>
      <c r="T3" s="90" t="s">
        <v>1943</v>
      </c>
      <c r="U3" s="90" t="s">
        <v>1943</v>
      </c>
      <c r="V3" s="90" t="s">
        <v>1943</v>
      </c>
      <c r="W3" s="168" t="s">
        <v>228</v>
      </c>
      <c r="X3" s="90" t="s">
        <v>1514</v>
      </c>
      <c r="Y3" s="90" t="s">
        <v>2278</v>
      </c>
      <c r="Z3" s="90" t="s">
        <v>2278</v>
      </c>
      <c r="AA3" s="90" t="s">
        <v>1977</v>
      </c>
      <c r="AB3" s="90" t="s">
        <v>1977</v>
      </c>
      <c r="AC3" s="90" t="s">
        <v>1977</v>
      </c>
      <c r="AD3" s="99">
        <v>15</v>
      </c>
      <c r="AE3" s="99">
        <v>15</v>
      </c>
      <c r="AF3" s="90" t="s">
        <v>1977</v>
      </c>
      <c r="AG3" s="90" t="s">
        <v>1977</v>
      </c>
      <c r="AH3" s="90" t="s">
        <v>1977</v>
      </c>
      <c r="AI3" s="90" t="s">
        <v>1977</v>
      </c>
      <c r="AJ3" s="90" t="s">
        <v>1977</v>
      </c>
      <c r="AK3" s="90" t="s">
        <v>1977</v>
      </c>
      <c r="AL3" s="90" t="s">
        <v>1977</v>
      </c>
      <c r="AM3" s="90" t="s">
        <v>1977</v>
      </c>
      <c r="AN3" s="90" t="s">
        <v>1977</v>
      </c>
      <c r="AO3" s="90" t="s">
        <v>1977</v>
      </c>
      <c r="AP3" s="90" t="s">
        <v>1977</v>
      </c>
      <c r="AQ3" s="90" t="s">
        <v>1977</v>
      </c>
      <c r="AR3" s="90" t="s">
        <v>1977</v>
      </c>
      <c r="AS3" s="90" t="s">
        <v>1977</v>
      </c>
      <c r="AT3" s="90" t="s">
        <v>1977</v>
      </c>
      <c r="AU3" s="90" t="s">
        <v>1977</v>
      </c>
      <c r="AV3" s="90" t="s">
        <v>1977</v>
      </c>
      <c r="AW3" s="90" t="s">
        <v>1977</v>
      </c>
      <c r="AX3" s="90">
        <v>75</v>
      </c>
      <c r="AY3" s="90">
        <v>0</v>
      </c>
      <c r="AZ3" t="s">
        <v>225</v>
      </c>
      <c r="BA3" t="s">
        <v>229</v>
      </c>
      <c r="BB3" t="s">
        <v>227</v>
      </c>
      <c r="BC3" t="s">
        <v>1022</v>
      </c>
      <c r="BD3">
        <v>1</v>
      </c>
      <c r="BE3" t="s">
        <v>2003</v>
      </c>
      <c r="BF3">
        <v>10</v>
      </c>
      <c r="BG3" t="s">
        <v>1384</v>
      </c>
      <c r="BH3">
        <v>80</v>
      </c>
      <c r="BI3">
        <v>75</v>
      </c>
      <c r="BJ3" t="s">
        <v>1943</v>
      </c>
      <c r="BK3">
        <v>0</v>
      </c>
      <c r="BL3">
        <v>3</v>
      </c>
      <c r="BM3">
        <v>8</v>
      </c>
      <c r="BN3">
        <v>2</v>
      </c>
      <c r="BO3">
        <v>0</v>
      </c>
    </row>
    <row r="4" spans="1:68">
      <c r="A4" t="s">
        <v>230</v>
      </c>
      <c r="B4" s="90">
        <v>1</v>
      </c>
      <c r="C4" t="s">
        <v>1022</v>
      </c>
      <c r="D4" t="s">
        <v>1109</v>
      </c>
      <c r="E4" s="90">
        <v>0</v>
      </c>
      <c r="F4" s="90">
        <v>0</v>
      </c>
      <c r="G4" s="90">
        <v>0</v>
      </c>
      <c r="H4" s="90">
        <v>0</v>
      </c>
      <c r="I4" s="90">
        <v>0</v>
      </c>
      <c r="J4" s="90">
        <v>0</v>
      </c>
      <c r="K4" s="90">
        <v>0</v>
      </c>
      <c r="L4" s="90">
        <v>0</v>
      </c>
      <c r="M4" s="90">
        <v>15</v>
      </c>
      <c r="N4" s="90">
        <v>0</v>
      </c>
      <c r="O4" s="90">
        <v>10</v>
      </c>
      <c r="P4" s="90">
        <v>1</v>
      </c>
      <c r="Q4" s="90" t="s">
        <v>1519</v>
      </c>
      <c r="R4" s="90" t="s">
        <v>1519</v>
      </c>
      <c r="S4" s="90" t="s">
        <v>1519</v>
      </c>
      <c r="T4" s="90" t="s">
        <v>1519</v>
      </c>
      <c r="U4" s="90" t="s">
        <v>1519</v>
      </c>
      <c r="V4" s="90" t="s">
        <v>1519</v>
      </c>
      <c r="W4" s="168" t="s">
        <v>189</v>
      </c>
      <c r="X4" s="90" t="s">
        <v>1514</v>
      </c>
      <c r="Y4" s="90" t="s">
        <v>2278</v>
      </c>
      <c r="Z4" s="90" t="s">
        <v>2278</v>
      </c>
      <c r="AA4" s="90" t="s">
        <v>1977</v>
      </c>
      <c r="AB4" s="90" t="s">
        <v>1977</v>
      </c>
      <c r="AC4" s="90" t="s">
        <v>1977</v>
      </c>
      <c r="AD4" s="242">
        <v>15</v>
      </c>
      <c r="AE4" s="242">
        <v>15</v>
      </c>
      <c r="AF4" s="90" t="s">
        <v>1977</v>
      </c>
      <c r="AG4" s="90" t="s">
        <v>1977</v>
      </c>
      <c r="AH4" s="90" t="s">
        <v>1977</v>
      </c>
      <c r="AI4" s="90" t="s">
        <v>1977</v>
      </c>
      <c r="AJ4" s="90" t="s">
        <v>1977</v>
      </c>
      <c r="AK4" s="90" t="s">
        <v>1977</v>
      </c>
      <c r="AL4" s="90" t="s">
        <v>1977</v>
      </c>
      <c r="AM4" s="90" t="s">
        <v>1977</v>
      </c>
      <c r="AN4" s="90" t="s">
        <v>1977</v>
      </c>
      <c r="AO4" s="90" t="s">
        <v>1977</v>
      </c>
      <c r="AP4" s="90" t="s">
        <v>1977</v>
      </c>
      <c r="AQ4" s="90" t="s">
        <v>1977</v>
      </c>
      <c r="AR4" s="90" t="s">
        <v>1977</v>
      </c>
      <c r="AS4" s="90" t="s">
        <v>1977</v>
      </c>
      <c r="AT4" s="90" t="s">
        <v>1977</v>
      </c>
      <c r="AU4" s="90" t="s">
        <v>1977</v>
      </c>
      <c r="AV4" s="90" t="s">
        <v>1977</v>
      </c>
      <c r="AW4" s="90" t="s">
        <v>1977</v>
      </c>
      <c r="AX4" s="90">
        <v>75</v>
      </c>
      <c r="AY4" s="90">
        <v>0</v>
      </c>
      <c r="AZ4" t="s">
        <v>225</v>
      </c>
      <c r="BA4" t="s">
        <v>229</v>
      </c>
      <c r="BB4" t="s">
        <v>230</v>
      </c>
      <c r="BC4" t="s">
        <v>1022</v>
      </c>
      <c r="BD4">
        <v>1</v>
      </c>
      <c r="BE4" t="s">
        <v>1109</v>
      </c>
      <c r="BF4">
        <v>10</v>
      </c>
      <c r="BG4" t="s">
        <v>1384</v>
      </c>
      <c r="BH4">
        <v>100</v>
      </c>
      <c r="BI4">
        <v>75</v>
      </c>
      <c r="BJ4" t="s">
        <v>1519</v>
      </c>
      <c r="BK4">
        <v>0</v>
      </c>
      <c r="BL4">
        <v>4</v>
      </c>
      <c r="BM4">
        <v>10</v>
      </c>
      <c r="BN4">
        <v>3</v>
      </c>
      <c r="BO4">
        <v>0</v>
      </c>
    </row>
    <row r="5" spans="1:68">
      <c r="A5" t="s">
        <v>282</v>
      </c>
      <c r="B5" s="90" t="s">
        <v>283</v>
      </c>
      <c r="C5" t="s">
        <v>1317</v>
      </c>
      <c r="D5" t="s">
        <v>1619</v>
      </c>
      <c r="E5" s="90">
        <v>0</v>
      </c>
      <c r="F5" s="90">
        <v>0</v>
      </c>
      <c r="G5" s="90">
        <v>0</v>
      </c>
      <c r="H5" s="90">
        <v>0</v>
      </c>
      <c r="I5" s="90">
        <v>0</v>
      </c>
      <c r="J5" s="90">
        <v>0</v>
      </c>
      <c r="K5" s="90">
        <v>0</v>
      </c>
      <c r="L5" s="90">
        <v>0</v>
      </c>
      <c r="M5" s="90">
        <v>15</v>
      </c>
      <c r="N5" s="90">
        <v>0</v>
      </c>
      <c r="O5" s="90">
        <v>1</v>
      </c>
      <c r="P5" s="90">
        <v>-3</v>
      </c>
      <c r="Q5" s="90" t="s">
        <v>1511</v>
      </c>
      <c r="R5" s="90" t="s">
        <v>1511</v>
      </c>
      <c r="S5" s="90" t="s">
        <v>1511</v>
      </c>
      <c r="T5" s="90" t="s">
        <v>1511</v>
      </c>
      <c r="U5" s="90" t="s">
        <v>1511</v>
      </c>
      <c r="V5" s="90" t="s">
        <v>1511</v>
      </c>
      <c r="W5" s="168" t="s">
        <v>284</v>
      </c>
      <c r="X5" s="90" t="s">
        <v>2137</v>
      </c>
      <c r="Y5" s="90" t="s">
        <v>2137</v>
      </c>
      <c r="Z5" s="90" t="s">
        <v>1977</v>
      </c>
      <c r="AA5" s="90" t="s">
        <v>1977</v>
      </c>
      <c r="AB5" s="90" t="s">
        <v>1977</v>
      </c>
      <c r="AC5" s="90" t="s">
        <v>1977</v>
      </c>
      <c r="AD5" s="99">
        <v>10</v>
      </c>
      <c r="AE5" s="99">
        <v>10</v>
      </c>
      <c r="AF5" s="90" t="s">
        <v>1977</v>
      </c>
      <c r="AG5" s="90" t="s">
        <v>1977</v>
      </c>
      <c r="AH5" s="90" t="s">
        <v>1977</v>
      </c>
      <c r="AI5" s="90" t="s">
        <v>1977</v>
      </c>
      <c r="AJ5" s="90" t="s">
        <v>1977</v>
      </c>
      <c r="AK5" s="90" t="s">
        <v>1977</v>
      </c>
      <c r="AL5" s="90" t="s">
        <v>1977</v>
      </c>
      <c r="AM5" s="90" t="s">
        <v>1977</v>
      </c>
      <c r="AN5" s="90" t="s">
        <v>1977</v>
      </c>
      <c r="AO5" s="90" t="s">
        <v>1977</v>
      </c>
      <c r="AP5" s="90" t="s">
        <v>1977</v>
      </c>
      <c r="AQ5" s="90" t="s">
        <v>1977</v>
      </c>
      <c r="AR5" s="90" t="s">
        <v>1977</v>
      </c>
      <c r="AS5" s="90" t="s">
        <v>1977</v>
      </c>
      <c r="AT5" s="90" t="s">
        <v>1977</v>
      </c>
      <c r="AU5" s="90" t="s">
        <v>1977</v>
      </c>
      <c r="AV5" s="90" t="s">
        <v>1977</v>
      </c>
      <c r="AW5" s="90" t="s">
        <v>1977</v>
      </c>
      <c r="AX5" s="90">
        <v>10</v>
      </c>
      <c r="AY5" s="90">
        <v>0</v>
      </c>
      <c r="AZ5" t="s">
        <v>344</v>
      </c>
      <c r="BA5" t="s">
        <v>2496</v>
      </c>
      <c r="BB5" t="s">
        <v>282</v>
      </c>
      <c r="BC5" t="s">
        <v>1317</v>
      </c>
      <c r="BD5" t="s">
        <v>283</v>
      </c>
      <c r="BE5" t="s">
        <v>1619</v>
      </c>
      <c r="BF5">
        <v>1</v>
      </c>
      <c r="BG5" t="s">
        <v>330</v>
      </c>
      <c r="BH5">
        <v>20</v>
      </c>
      <c r="BI5">
        <v>10</v>
      </c>
      <c r="BJ5" t="s">
        <v>1511</v>
      </c>
      <c r="BK5">
        <v>0</v>
      </c>
      <c r="BL5">
        <v>1</v>
      </c>
      <c r="BM5">
        <v>2</v>
      </c>
      <c r="BN5">
        <v>2</v>
      </c>
      <c r="BO5">
        <v>0</v>
      </c>
    </row>
    <row r="6" spans="1:68">
      <c r="A6" t="s">
        <v>1075</v>
      </c>
      <c r="B6" s="90" t="s">
        <v>310</v>
      </c>
      <c r="C6" t="s">
        <v>2277</v>
      </c>
      <c r="D6" t="s">
        <v>1619</v>
      </c>
      <c r="E6" s="90">
        <v>0</v>
      </c>
      <c r="F6" s="90">
        <v>0</v>
      </c>
      <c r="G6" s="90">
        <v>0</v>
      </c>
      <c r="H6" s="90">
        <v>0</v>
      </c>
      <c r="I6" s="90">
        <v>0</v>
      </c>
      <c r="J6" s="90">
        <v>0</v>
      </c>
      <c r="K6" s="90">
        <v>0</v>
      </c>
      <c r="L6" s="90">
        <v>0</v>
      </c>
      <c r="M6" s="90">
        <v>15</v>
      </c>
      <c r="N6" s="90">
        <v>0</v>
      </c>
      <c r="O6" s="90">
        <v>4</v>
      </c>
      <c r="P6" s="90">
        <v>2</v>
      </c>
      <c r="Q6" s="90" t="s">
        <v>1943</v>
      </c>
      <c r="R6" s="90" t="s">
        <v>1943</v>
      </c>
      <c r="S6" s="90" t="s">
        <v>1943</v>
      </c>
      <c r="T6" s="90" t="s">
        <v>1943</v>
      </c>
      <c r="U6" s="90" t="s">
        <v>1943</v>
      </c>
      <c r="V6" s="90" t="s">
        <v>1943</v>
      </c>
      <c r="W6" s="168" t="s">
        <v>40</v>
      </c>
      <c r="X6" s="90" t="s">
        <v>1019</v>
      </c>
      <c r="Y6" s="90" t="s">
        <v>1977</v>
      </c>
      <c r="Z6" s="90" t="s">
        <v>1977</v>
      </c>
      <c r="AA6" s="90" t="s">
        <v>1977</v>
      </c>
      <c r="AB6" s="90" t="s">
        <v>1977</v>
      </c>
      <c r="AC6" s="90" t="s">
        <v>1977</v>
      </c>
      <c r="AD6" s="99">
        <v>10</v>
      </c>
      <c r="AE6" s="99">
        <v>10</v>
      </c>
      <c r="AF6" s="90" t="s">
        <v>1977</v>
      </c>
      <c r="AG6" s="90" t="s">
        <v>1977</v>
      </c>
      <c r="AH6" s="90" t="s">
        <v>1977</v>
      </c>
      <c r="AI6" s="90" t="s">
        <v>1977</v>
      </c>
      <c r="AJ6" s="90" t="s">
        <v>1977</v>
      </c>
      <c r="AK6" s="90" t="s">
        <v>1977</v>
      </c>
      <c r="AL6" s="90" t="s">
        <v>1977</v>
      </c>
      <c r="AM6" s="90" t="s">
        <v>1977</v>
      </c>
      <c r="AN6" s="90" t="s">
        <v>1977</v>
      </c>
      <c r="AO6" s="90" t="s">
        <v>1977</v>
      </c>
      <c r="AP6" s="90" t="s">
        <v>1977</v>
      </c>
      <c r="AQ6" s="90" t="s">
        <v>1977</v>
      </c>
      <c r="AR6" s="90" t="s">
        <v>1977</v>
      </c>
      <c r="AS6" s="90" t="s">
        <v>1977</v>
      </c>
      <c r="AT6" s="90" t="s">
        <v>1977</v>
      </c>
      <c r="AU6" s="90" t="s">
        <v>1977</v>
      </c>
      <c r="AV6" s="90" t="s">
        <v>1977</v>
      </c>
      <c r="AW6" s="90" t="s">
        <v>1977</v>
      </c>
      <c r="AX6" s="90">
        <v>90</v>
      </c>
      <c r="AY6" s="90">
        <v>0</v>
      </c>
      <c r="AZ6" t="s">
        <v>324</v>
      </c>
      <c r="BA6" t="s">
        <v>41</v>
      </c>
      <c r="BB6" t="s">
        <v>1075</v>
      </c>
      <c r="BC6" t="s">
        <v>2277</v>
      </c>
      <c r="BD6" t="s">
        <v>310</v>
      </c>
      <c r="BE6" t="s">
        <v>1619</v>
      </c>
      <c r="BF6">
        <v>4</v>
      </c>
      <c r="BG6" t="s">
        <v>330</v>
      </c>
      <c r="BH6">
        <v>300</v>
      </c>
      <c r="BI6">
        <v>90</v>
      </c>
      <c r="BJ6" t="s">
        <v>1943</v>
      </c>
      <c r="BK6">
        <v>0</v>
      </c>
      <c r="BL6">
        <v>10</v>
      </c>
      <c r="BM6">
        <v>20</v>
      </c>
      <c r="BN6">
        <v>3</v>
      </c>
      <c r="BO6">
        <v>0</v>
      </c>
    </row>
    <row r="7" spans="1:68">
      <c r="A7" t="s">
        <v>2089</v>
      </c>
      <c r="B7" s="90" t="s">
        <v>2343</v>
      </c>
      <c r="C7" t="s">
        <v>2277</v>
      </c>
      <c r="D7" t="s">
        <v>1098</v>
      </c>
      <c r="E7" s="90">
        <f>P7</f>
        <v>-2</v>
      </c>
      <c r="F7" s="90">
        <v>0</v>
      </c>
      <c r="G7" s="90">
        <v>2</v>
      </c>
      <c r="H7" s="90">
        <v>0</v>
      </c>
      <c r="I7" s="90">
        <v>0</v>
      </c>
      <c r="J7" s="90">
        <v>0</v>
      </c>
      <c r="K7" s="90">
        <v>0</v>
      </c>
      <c r="L7" s="90">
        <v>0</v>
      </c>
      <c r="M7" s="90">
        <f>IF(C7="Carnivore",15,10)</f>
        <v>10</v>
      </c>
      <c r="N7" s="90">
        <v>2</v>
      </c>
      <c r="O7" s="90">
        <v>-2</v>
      </c>
      <c r="P7" s="90">
        <v>-2</v>
      </c>
      <c r="Q7" s="90" t="s">
        <v>1943</v>
      </c>
      <c r="R7" s="90" t="s">
        <v>1943</v>
      </c>
      <c r="S7" s="90" t="s">
        <v>1943</v>
      </c>
      <c r="T7" s="90" t="s">
        <v>1943</v>
      </c>
      <c r="U7" s="90"/>
      <c r="V7" s="90"/>
      <c r="W7" s="90" t="s">
        <v>1812</v>
      </c>
      <c r="X7" s="90" t="s">
        <v>2278</v>
      </c>
      <c r="Y7" s="90" t="s">
        <v>2278</v>
      </c>
      <c r="Z7" s="90" t="s">
        <v>1514</v>
      </c>
      <c r="AA7" s="90" t="s">
        <v>1977</v>
      </c>
      <c r="AB7" s="90" t="s">
        <v>1977</v>
      </c>
      <c r="AC7" s="90" t="s">
        <v>1977</v>
      </c>
      <c r="AD7" s="99">
        <v>7</v>
      </c>
      <c r="AE7" s="99">
        <v>7</v>
      </c>
      <c r="AF7" s="90" t="s">
        <v>1977</v>
      </c>
      <c r="AG7" s="90" t="s">
        <v>1977</v>
      </c>
      <c r="AH7" s="90" t="s">
        <v>1977</v>
      </c>
      <c r="AI7" s="90" t="s">
        <v>1977</v>
      </c>
      <c r="AJ7" s="90" t="s">
        <v>1977</v>
      </c>
      <c r="AK7" s="90" t="s">
        <v>1977</v>
      </c>
      <c r="AL7" s="90" t="s">
        <v>1977</v>
      </c>
      <c r="AM7" s="90" t="s">
        <v>1977</v>
      </c>
      <c r="AN7" s="90" t="s">
        <v>1977</v>
      </c>
      <c r="AO7" s="90" t="s">
        <v>1977</v>
      </c>
      <c r="AP7" s="90" t="s">
        <v>1977</v>
      </c>
      <c r="AQ7" s="90" t="s">
        <v>1977</v>
      </c>
      <c r="AR7" s="90" t="s">
        <v>1977</v>
      </c>
      <c r="AS7" s="90" t="s">
        <v>1977</v>
      </c>
      <c r="AT7" s="90" t="s">
        <v>1977</v>
      </c>
      <c r="AU7" s="90" t="s">
        <v>1977</v>
      </c>
      <c r="AV7" s="90" t="s">
        <v>1977</v>
      </c>
      <c r="AW7" s="90" t="s">
        <v>1977</v>
      </c>
      <c r="AX7" s="90">
        <v>6</v>
      </c>
      <c r="AY7" s="90">
        <f>IF(U7&gt;0,"Yes",0)</f>
        <v>0</v>
      </c>
      <c r="BA7"/>
    </row>
    <row r="8" spans="1:68">
      <c r="A8" t="s">
        <v>316</v>
      </c>
      <c r="B8" s="90" t="s">
        <v>1000</v>
      </c>
      <c r="C8" t="s">
        <v>1022</v>
      </c>
      <c r="D8" t="s">
        <v>2003</v>
      </c>
      <c r="E8" s="90">
        <v>0</v>
      </c>
      <c r="F8" s="90">
        <v>0</v>
      </c>
      <c r="G8" s="90">
        <v>0</v>
      </c>
      <c r="H8" s="90">
        <v>0</v>
      </c>
      <c r="I8" s="90">
        <v>0</v>
      </c>
      <c r="J8" s="90">
        <v>0</v>
      </c>
      <c r="K8" s="90">
        <v>0</v>
      </c>
      <c r="L8" s="90">
        <v>0</v>
      </c>
      <c r="M8" s="90">
        <v>15</v>
      </c>
      <c r="N8" s="90">
        <v>0</v>
      </c>
      <c r="O8" s="90">
        <v>6</v>
      </c>
      <c r="P8" s="90">
        <v>-3</v>
      </c>
      <c r="Q8" s="90" t="s">
        <v>322</v>
      </c>
      <c r="R8" s="90" t="s">
        <v>322</v>
      </c>
      <c r="S8" s="90" t="s">
        <v>322</v>
      </c>
      <c r="T8" s="90" t="s">
        <v>322</v>
      </c>
      <c r="U8" s="90" t="s">
        <v>322</v>
      </c>
      <c r="V8" s="90" t="s">
        <v>322</v>
      </c>
      <c r="W8" s="168" t="s">
        <v>317</v>
      </c>
      <c r="X8" s="90" t="s">
        <v>1514</v>
      </c>
      <c r="Y8" s="90" t="s">
        <v>2278</v>
      </c>
      <c r="Z8" s="90" t="s">
        <v>2278</v>
      </c>
      <c r="AA8" s="90" t="s">
        <v>1977</v>
      </c>
      <c r="AB8" s="90" t="s">
        <v>1977</v>
      </c>
      <c r="AC8" s="90" t="s">
        <v>1977</v>
      </c>
      <c r="AD8" s="99">
        <v>10</v>
      </c>
      <c r="AE8" s="99">
        <v>10</v>
      </c>
      <c r="AF8" s="90" t="s">
        <v>1977</v>
      </c>
      <c r="AG8" s="90" t="s">
        <v>1977</v>
      </c>
      <c r="AH8" s="90" t="s">
        <v>1977</v>
      </c>
      <c r="AI8" s="90" t="s">
        <v>1977</v>
      </c>
      <c r="AJ8" s="90" t="s">
        <v>1977</v>
      </c>
      <c r="AK8" s="90" t="s">
        <v>1977</v>
      </c>
      <c r="AL8" s="90" t="s">
        <v>1977</v>
      </c>
      <c r="AM8" s="90" t="s">
        <v>1977</v>
      </c>
      <c r="AN8" s="90" t="s">
        <v>1977</v>
      </c>
      <c r="AO8" s="90" t="s">
        <v>1977</v>
      </c>
      <c r="AP8" s="90" t="s">
        <v>1977</v>
      </c>
      <c r="AQ8" s="90" t="s">
        <v>1977</v>
      </c>
      <c r="AR8" s="90" t="s">
        <v>1977</v>
      </c>
      <c r="AS8" s="90" t="s">
        <v>1977</v>
      </c>
      <c r="AT8" s="90" t="s">
        <v>1977</v>
      </c>
      <c r="AU8" s="90" t="s">
        <v>1977</v>
      </c>
      <c r="AV8" s="90" t="s">
        <v>1977</v>
      </c>
      <c r="AW8" s="90" t="s">
        <v>1977</v>
      </c>
      <c r="AX8" s="90">
        <v>110</v>
      </c>
      <c r="AY8" s="90">
        <v>0</v>
      </c>
      <c r="AZ8" t="s">
        <v>312</v>
      </c>
      <c r="BA8" t="s">
        <v>231</v>
      </c>
      <c r="BB8" t="s">
        <v>316</v>
      </c>
      <c r="BC8" t="s">
        <v>1022</v>
      </c>
      <c r="BD8" t="s">
        <v>1000</v>
      </c>
      <c r="BE8" t="s">
        <v>2003</v>
      </c>
      <c r="BF8">
        <v>6</v>
      </c>
      <c r="BG8" t="s">
        <v>330</v>
      </c>
      <c r="BH8">
        <v>40</v>
      </c>
      <c r="BI8">
        <v>110</v>
      </c>
      <c r="BJ8" t="s">
        <v>322</v>
      </c>
      <c r="BK8">
        <v>-2</v>
      </c>
      <c r="BL8">
        <v>5</v>
      </c>
      <c r="BM8">
        <v>4</v>
      </c>
      <c r="BN8">
        <v>1</v>
      </c>
      <c r="BO8">
        <v>-3</v>
      </c>
    </row>
    <row r="9" spans="1:68">
      <c r="A9" t="s">
        <v>275</v>
      </c>
      <c r="B9" s="90" t="s">
        <v>276</v>
      </c>
      <c r="C9" t="s">
        <v>1022</v>
      </c>
      <c r="D9" t="s">
        <v>1109</v>
      </c>
      <c r="E9" s="90">
        <v>6</v>
      </c>
      <c r="F9" s="90">
        <v>0</v>
      </c>
      <c r="G9" s="90">
        <v>0</v>
      </c>
      <c r="H9" s="90">
        <v>0</v>
      </c>
      <c r="I9" s="90">
        <v>0</v>
      </c>
      <c r="J9" s="90">
        <v>0</v>
      </c>
      <c r="K9" s="90">
        <v>0</v>
      </c>
      <c r="L9" s="90">
        <v>0</v>
      </c>
      <c r="M9" s="90">
        <v>15</v>
      </c>
      <c r="N9" s="90">
        <v>0</v>
      </c>
      <c r="O9" s="90">
        <v>1</v>
      </c>
      <c r="P9" s="90">
        <v>5</v>
      </c>
      <c r="Q9" s="90" t="s">
        <v>1510</v>
      </c>
      <c r="R9" s="90" t="s">
        <v>1510</v>
      </c>
      <c r="S9" s="90" t="s">
        <v>1510</v>
      </c>
      <c r="T9" s="90" t="s">
        <v>1510</v>
      </c>
      <c r="U9" s="90" t="s">
        <v>1510</v>
      </c>
      <c r="V9" s="90" t="s">
        <v>1510</v>
      </c>
      <c r="W9" s="168" t="s">
        <v>277</v>
      </c>
      <c r="X9" s="90" t="s">
        <v>1675</v>
      </c>
      <c r="Y9" s="90" t="s">
        <v>1977</v>
      </c>
      <c r="Z9" s="90" t="s">
        <v>1977</v>
      </c>
      <c r="AA9" s="90" t="s">
        <v>1977</v>
      </c>
      <c r="AB9" s="90" t="s">
        <v>1977</v>
      </c>
      <c r="AC9" s="90" t="s">
        <v>1977</v>
      </c>
      <c r="AD9" s="99">
        <v>15</v>
      </c>
      <c r="AE9" s="99">
        <v>15</v>
      </c>
      <c r="AF9" s="90" t="s">
        <v>1977</v>
      </c>
      <c r="AG9" s="90" t="s">
        <v>1977</v>
      </c>
      <c r="AH9" s="242" t="s">
        <v>1736</v>
      </c>
      <c r="AI9" s="90" t="s">
        <v>1977</v>
      </c>
      <c r="AJ9" s="90" t="s">
        <v>1977</v>
      </c>
      <c r="AK9" s="90" t="s">
        <v>1977</v>
      </c>
      <c r="AL9" s="90" t="s">
        <v>1977</v>
      </c>
      <c r="AM9" s="90" t="s">
        <v>1977</v>
      </c>
      <c r="AN9" s="90" t="s">
        <v>1977</v>
      </c>
      <c r="AO9" s="90" t="s">
        <v>1977</v>
      </c>
      <c r="AP9" s="90" t="s">
        <v>1977</v>
      </c>
      <c r="AQ9" s="90" t="s">
        <v>1977</v>
      </c>
      <c r="AR9" s="90" t="s">
        <v>1977</v>
      </c>
      <c r="AS9" s="90" t="s">
        <v>1977</v>
      </c>
      <c r="AT9" s="90" t="s">
        <v>1977</v>
      </c>
      <c r="AU9" s="90" t="s">
        <v>1977</v>
      </c>
      <c r="AV9" s="90" t="s">
        <v>1977</v>
      </c>
      <c r="AW9" s="90" t="s">
        <v>1977</v>
      </c>
      <c r="AX9" s="90">
        <v>0</v>
      </c>
      <c r="AY9" s="90">
        <v>0</v>
      </c>
      <c r="AZ9" t="s">
        <v>344</v>
      </c>
      <c r="BA9" t="s">
        <v>2506</v>
      </c>
      <c r="BB9" t="s">
        <v>275</v>
      </c>
      <c r="BC9" t="s">
        <v>1022</v>
      </c>
      <c r="BD9" t="s">
        <v>276</v>
      </c>
      <c r="BE9" t="s">
        <v>1109</v>
      </c>
      <c r="BF9">
        <v>1</v>
      </c>
      <c r="BG9" t="s">
        <v>1384</v>
      </c>
      <c r="BH9">
        <v>5000</v>
      </c>
      <c r="BI9">
        <v>0</v>
      </c>
      <c r="BJ9" t="s">
        <v>1510</v>
      </c>
      <c r="BK9">
        <v>6</v>
      </c>
      <c r="BL9">
        <v>1</v>
      </c>
      <c r="BM9">
        <v>6</v>
      </c>
      <c r="BN9">
        <v>20</v>
      </c>
      <c r="BO9">
        <v>3</v>
      </c>
    </row>
    <row r="10" spans="1:68">
      <c r="A10" t="s">
        <v>232</v>
      </c>
      <c r="B10" s="90">
        <v>1</v>
      </c>
      <c r="C10" t="s">
        <v>1022</v>
      </c>
      <c r="D10" t="s">
        <v>1098</v>
      </c>
      <c r="E10" s="90">
        <v>0</v>
      </c>
      <c r="F10" s="90">
        <v>0</v>
      </c>
      <c r="G10" s="90">
        <v>0</v>
      </c>
      <c r="H10" s="90">
        <v>0</v>
      </c>
      <c r="I10" s="90">
        <v>0</v>
      </c>
      <c r="J10" s="90">
        <v>0</v>
      </c>
      <c r="K10" s="90">
        <v>0</v>
      </c>
      <c r="L10" s="90">
        <v>0</v>
      </c>
      <c r="M10" s="90">
        <v>15</v>
      </c>
      <c r="N10" s="90">
        <v>0</v>
      </c>
      <c r="O10" s="90">
        <v>8</v>
      </c>
      <c r="P10" s="90">
        <v>-3</v>
      </c>
      <c r="Q10" s="90" t="s">
        <v>322</v>
      </c>
      <c r="R10" s="90" t="s">
        <v>322</v>
      </c>
      <c r="S10" s="90" t="s">
        <v>322</v>
      </c>
      <c r="T10" s="90" t="s">
        <v>322</v>
      </c>
      <c r="U10" s="90" t="s">
        <v>322</v>
      </c>
      <c r="V10" s="90" t="s">
        <v>322</v>
      </c>
      <c r="W10" s="168" t="s">
        <v>233</v>
      </c>
      <c r="X10" s="90" t="s">
        <v>1514</v>
      </c>
      <c r="Y10" s="90" t="s">
        <v>2278</v>
      </c>
      <c r="Z10" s="90" t="s">
        <v>2278</v>
      </c>
      <c r="AA10" s="90" t="s">
        <v>1977</v>
      </c>
      <c r="AB10" s="90" t="s">
        <v>1977</v>
      </c>
      <c r="AC10" s="90" t="s">
        <v>1977</v>
      </c>
      <c r="AD10" s="99">
        <v>15</v>
      </c>
      <c r="AE10" s="99">
        <v>15</v>
      </c>
      <c r="AF10" s="90" t="s">
        <v>1977</v>
      </c>
      <c r="AG10" s="90" t="s">
        <v>1977</v>
      </c>
      <c r="AH10" s="90" t="s">
        <v>1977</v>
      </c>
      <c r="AI10" s="90" t="s">
        <v>1977</v>
      </c>
      <c r="AJ10" s="90" t="s">
        <v>1977</v>
      </c>
      <c r="AK10" s="90" t="s">
        <v>1977</v>
      </c>
      <c r="AL10" s="90" t="s">
        <v>1977</v>
      </c>
      <c r="AM10" s="90" t="s">
        <v>1977</v>
      </c>
      <c r="AN10" s="90" t="s">
        <v>1977</v>
      </c>
      <c r="AO10" s="90" t="s">
        <v>1977</v>
      </c>
      <c r="AP10" s="90" t="s">
        <v>1977</v>
      </c>
      <c r="AQ10" s="90" t="s">
        <v>1977</v>
      </c>
      <c r="AR10" s="90" t="s">
        <v>1977</v>
      </c>
      <c r="AS10" s="90" t="s">
        <v>1977</v>
      </c>
      <c r="AT10" s="90" t="s">
        <v>1977</v>
      </c>
      <c r="AU10" s="90" t="s">
        <v>1977</v>
      </c>
      <c r="AV10" s="90" t="s">
        <v>1977</v>
      </c>
      <c r="AW10" s="90" t="s">
        <v>1977</v>
      </c>
      <c r="AX10" s="90">
        <v>100</v>
      </c>
      <c r="AY10" s="90">
        <v>0</v>
      </c>
      <c r="AZ10" t="s">
        <v>312</v>
      </c>
      <c r="BA10" t="s">
        <v>231</v>
      </c>
      <c r="BB10" t="s">
        <v>232</v>
      </c>
      <c r="BC10" t="s">
        <v>1022</v>
      </c>
      <c r="BD10">
        <v>1</v>
      </c>
      <c r="BE10" t="s">
        <v>1098</v>
      </c>
      <c r="BF10">
        <v>8</v>
      </c>
      <c r="BG10" t="s">
        <v>1384</v>
      </c>
      <c r="BH10">
        <v>40</v>
      </c>
      <c r="BI10">
        <v>100</v>
      </c>
      <c r="BJ10" t="s">
        <v>322</v>
      </c>
      <c r="BK10">
        <v>-2</v>
      </c>
      <c r="BL10">
        <v>2</v>
      </c>
      <c r="BM10">
        <v>4</v>
      </c>
      <c r="BN10">
        <v>1</v>
      </c>
      <c r="BO10">
        <v>-3</v>
      </c>
    </row>
    <row r="11" spans="1:68">
      <c r="A11" t="s">
        <v>285</v>
      </c>
      <c r="B11" s="90">
        <v>1</v>
      </c>
      <c r="C11" t="s">
        <v>1022</v>
      </c>
      <c r="D11" t="s">
        <v>2003</v>
      </c>
      <c r="E11" s="90">
        <v>0</v>
      </c>
      <c r="F11" s="90">
        <v>0</v>
      </c>
      <c r="G11" s="90">
        <v>0</v>
      </c>
      <c r="H11" s="90">
        <v>0</v>
      </c>
      <c r="I11" s="90">
        <v>0</v>
      </c>
      <c r="J11" s="90">
        <v>0</v>
      </c>
      <c r="K11" s="90">
        <v>0</v>
      </c>
      <c r="L11" s="90">
        <v>0</v>
      </c>
      <c r="M11" s="90">
        <v>15</v>
      </c>
      <c r="N11" s="90">
        <v>0</v>
      </c>
      <c r="O11" s="90">
        <v>1</v>
      </c>
      <c r="P11" s="90">
        <v>-9</v>
      </c>
      <c r="Q11" s="90" t="s">
        <v>1510</v>
      </c>
      <c r="R11" s="90" t="s">
        <v>1510</v>
      </c>
      <c r="S11" s="90" t="s">
        <v>1510</v>
      </c>
      <c r="T11" s="90" t="s">
        <v>1510</v>
      </c>
      <c r="U11" s="90" t="s">
        <v>1510</v>
      </c>
      <c r="V11" s="90" t="s">
        <v>1510</v>
      </c>
      <c r="W11" s="168" t="s">
        <v>286</v>
      </c>
      <c r="X11" s="90" t="s">
        <v>2138</v>
      </c>
      <c r="Y11" s="90" t="s">
        <v>1514</v>
      </c>
      <c r="Z11" s="90" t="s">
        <v>1977</v>
      </c>
      <c r="AA11" s="90" t="s">
        <v>1977</v>
      </c>
      <c r="AB11" s="90" t="s">
        <v>1977</v>
      </c>
      <c r="AC11" s="90" t="s">
        <v>1977</v>
      </c>
      <c r="AD11" s="242">
        <v>5</v>
      </c>
      <c r="AE11" s="242">
        <v>5</v>
      </c>
      <c r="AF11" s="90" t="s">
        <v>1977</v>
      </c>
      <c r="AG11" s="90" t="s">
        <v>1977</v>
      </c>
      <c r="AH11" s="242" t="s">
        <v>2368</v>
      </c>
      <c r="AI11" s="90" t="s">
        <v>1977</v>
      </c>
      <c r="AJ11" s="90" t="s">
        <v>1977</v>
      </c>
      <c r="AK11" s="90" t="s">
        <v>1977</v>
      </c>
      <c r="AL11" s="90" t="s">
        <v>1977</v>
      </c>
      <c r="AM11" s="90" t="s">
        <v>1977</v>
      </c>
      <c r="AN11" s="90" t="s">
        <v>1977</v>
      </c>
      <c r="AO11" s="90" t="s">
        <v>1977</v>
      </c>
      <c r="AP11" s="90" t="s">
        <v>1977</v>
      </c>
      <c r="AQ11" s="90" t="s">
        <v>1977</v>
      </c>
      <c r="AR11" s="90" t="s">
        <v>1977</v>
      </c>
      <c r="AS11" s="90" t="s">
        <v>1977</v>
      </c>
      <c r="AT11" s="90" t="s">
        <v>1977</v>
      </c>
      <c r="AU11" s="90" t="s">
        <v>1977</v>
      </c>
      <c r="AV11" s="90" t="s">
        <v>1977</v>
      </c>
      <c r="AW11" s="90" t="s">
        <v>1977</v>
      </c>
      <c r="AX11" s="90">
        <v>1</v>
      </c>
      <c r="AY11" s="90">
        <v>0</v>
      </c>
      <c r="AZ11" t="s">
        <v>344</v>
      </c>
      <c r="BA11" t="s">
        <v>2496</v>
      </c>
      <c r="BB11" t="s">
        <v>285</v>
      </c>
      <c r="BC11" t="s">
        <v>1022</v>
      </c>
      <c r="BD11">
        <v>1</v>
      </c>
      <c r="BE11" t="s">
        <v>2003</v>
      </c>
      <c r="BF11">
        <v>1</v>
      </c>
      <c r="BG11" t="s">
        <v>326</v>
      </c>
      <c r="BH11">
        <v>2</v>
      </c>
      <c r="BI11">
        <v>1</v>
      </c>
      <c r="BJ11" t="s">
        <v>1510</v>
      </c>
      <c r="BK11">
        <v>0</v>
      </c>
      <c r="BL11">
        <v>1</v>
      </c>
      <c r="BM11">
        <v>1</v>
      </c>
      <c r="BN11">
        <v>2</v>
      </c>
      <c r="BO11">
        <v>0</v>
      </c>
    </row>
    <row r="12" spans="1:68">
      <c r="A12" t="s">
        <v>2172</v>
      </c>
      <c r="B12" s="90">
        <v>1</v>
      </c>
      <c r="C12" t="s">
        <v>2277</v>
      </c>
      <c r="D12" t="s">
        <v>2003</v>
      </c>
      <c r="E12" s="90">
        <f>P12</f>
        <v>5</v>
      </c>
      <c r="F12" s="90">
        <v>0</v>
      </c>
      <c r="G12" s="90">
        <v>-2</v>
      </c>
      <c r="H12" s="90">
        <v>0</v>
      </c>
      <c r="I12" s="90">
        <v>0</v>
      </c>
      <c r="J12" s="90">
        <v>0</v>
      </c>
      <c r="K12" s="90">
        <v>0</v>
      </c>
      <c r="L12" s="90">
        <v>0</v>
      </c>
      <c r="M12" s="90">
        <f>IF(C12="Carnivore",15,10)</f>
        <v>10</v>
      </c>
      <c r="N12" s="90">
        <v>-2</v>
      </c>
      <c r="O12" s="90">
        <v>5</v>
      </c>
      <c r="P12" s="90">
        <v>5</v>
      </c>
      <c r="Q12" s="90" t="s">
        <v>1943</v>
      </c>
      <c r="R12" s="90" t="s">
        <v>1943</v>
      </c>
      <c r="S12" s="90" t="s">
        <v>1943</v>
      </c>
      <c r="T12" s="90" t="s">
        <v>1943</v>
      </c>
      <c r="U12" s="90"/>
      <c r="V12" s="90"/>
      <c r="W12" s="90" t="s">
        <v>1812</v>
      </c>
      <c r="X12" s="90" t="s">
        <v>1019</v>
      </c>
      <c r="Y12" s="90" t="s">
        <v>1977</v>
      </c>
      <c r="Z12" s="90" t="s">
        <v>1977</v>
      </c>
      <c r="AA12" s="90" t="s">
        <v>1977</v>
      </c>
      <c r="AB12" s="90" t="s">
        <v>1977</v>
      </c>
      <c r="AC12" s="90" t="s">
        <v>1977</v>
      </c>
      <c r="AD12" s="242">
        <v>7</v>
      </c>
      <c r="AE12" s="242">
        <v>8</v>
      </c>
      <c r="AF12" s="90" t="s">
        <v>1977</v>
      </c>
      <c r="AG12" s="90" t="s">
        <v>1977</v>
      </c>
      <c r="AH12" s="90" t="s">
        <v>1977</v>
      </c>
      <c r="AI12" s="90" t="s">
        <v>1977</v>
      </c>
      <c r="AJ12" s="90" t="s">
        <v>1977</v>
      </c>
      <c r="AK12" s="90" t="s">
        <v>1977</v>
      </c>
      <c r="AL12" s="90" t="s">
        <v>1977</v>
      </c>
      <c r="AM12" s="90" t="s">
        <v>1977</v>
      </c>
      <c r="AN12" s="90" t="s">
        <v>1977</v>
      </c>
      <c r="AO12" s="90" t="s">
        <v>1977</v>
      </c>
      <c r="AP12" s="90" t="s">
        <v>1977</v>
      </c>
      <c r="AQ12" s="90" t="s">
        <v>1977</v>
      </c>
      <c r="AR12" s="90" t="s">
        <v>1977</v>
      </c>
      <c r="AS12" s="90" t="s">
        <v>1977</v>
      </c>
      <c r="AT12" s="90" t="s">
        <v>1977</v>
      </c>
      <c r="AU12" s="90" t="s">
        <v>1977</v>
      </c>
      <c r="AV12" s="90" t="s">
        <v>1977</v>
      </c>
      <c r="AW12" s="90" t="s">
        <v>1977</v>
      </c>
      <c r="AX12" s="90">
        <v>-4</v>
      </c>
      <c r="AY12" s="90">
        <f>IF(U12&gt;0,"Yes",0)</f>
        <v>0</v>
      </c>
      <c r="BA12"/>
    </row>
    <row r="13" spans="1:68">
      <c r="A13" t="s">
        <v>309</v>
      </c>
      <c r="B13" s="90" t="s">
        <v>310</v>
      </c>
      <c r="C13" t="s">
        <v>1317</v>
      </c>
      <c r="D13" t="s">
        <v>1619</v>
      </c>
      <c r="E13" s="90">
        <v>0</v>
      </c>
      <c r="F13" s="90">
        <v>0</v>
      </c>
      <c r="G13" s="90">
        <v>0</v>
      </c>
      <c r="H13" s="90">
        <v>0</v>
      </c>
      <c r="I13" s="90">
        <v>0</v>
      </c>
      <c r="J13" s="90">
        <v>0</v>
      </c>
      <c r="K13" s="90">
        <v>0</v>
      </c>
      <c r="L13" s="90">
        <v>0</v>
      </c>
      <c r="M13" s="90">
        <v>15</v>
      </c>
      <c r="N13" s="90">
        <v>0</v>
      </c>
      <c r="O13" s="90">
        <v>2</v>
      </c>
      <c r="P13" s="90">
        <v>-3</v>
      </c>
      <c r="Q13" s="90" t="s">
        <v>1943</v>
      </c>
      <c r="R13" s="90" t="s">
        <v>1943</v>
      </c>
      <c r="S13" s="90" t="s">
        <v>1943</v>
      </c>
      <c r="T13" s="90" t="s">
        <v>1943</v>
      </c>
      <c r="U13" s="90" t="s">
        <v>1943</v>
      </c>
      <c r="V13" s="90" t="s">
        <v>1943</v>
      </c>
      <c r="W13" s="168" t="s">
        <v>311</v>
      </c>
      <c r="X13" s="90" t="s">
        <v>2139</v>
      </c>
      <c r="Y13" s="90" t="s">
        <v>1977</v>
      </c>
      <c r="Z13" s="90" t="s">
        <v>1977</v>
      </c>
      <c r="AA13" s="90" t="s">
        <v>1977</v>
      </c>
      <c r="AB13" s="90" t="s">
        <v>1977</v>
      </c>
      <c r="AC13" s="90" t="s">
        <v>1977</v>
      </c>
      <c r="AD13" s="242">
        <v>5</v>
      </c>
      <c r="AE13" s="242">
        <v>5</v>
      </c>
      <c r="AF13" s="90" t="s">
        <v>1977</v>
      </c>
      <c r="AG13" s="90" t="s">
        <v>1977</v>
      </c>
      <c r="AH13" s="90" t="s">
        <v>1977</v>
      </c>
      <c r="AI13" s="90" t="s">
        <v>1977</v>
      </c>
      <c r="AJ13" s="90" t="s">
        <v>1977</v>
      </c>
      <c r="AK13" s="90" t="s">
        <v>1977</v>
      </c>
      <c r="AL13" s="90" t="s">
        <v>1977</v>
      </c>
      <c r="AM13" s="90" t="s">
        <v>1977</v>
      </c>
      <c r="AN13" s="90" t="s">
        <v>1977</v>
      </c>
      <c r="AO13" s="90" t="s">
        <v>1977</v>
      </c>
      <c r="AP13" s="90" t="s">
        <v>1977</v>
      </c>
      <c r="AQ13" s="90" t="s">
        <v>1977</v>
      </c>
      <c r="AR13" s="90" t="s">
        <v>1977</v>
      </c>
      <c r="AS13" s="90" t="s">
        <v>1977</v>
      </c>
      <c r="AT13" s="90" t="s">
        <v>1977</v>
      </c>
      <c r="AU13" s="90" t="s">
        <v>1977</v>
      </c>
      <c r="AV13" s="90" t="s">
        <v>1977</v>
      </c>
      <c r="AW13" s="90" t="s">
        <v>1977</v>
      </c>
      <c r="AX13" s="90">
        <v>110</v>
      </c>
      <c r="AY13" s="90">
        <v>0</v>
      </c>
      <c r="AZ13" t="s">
        <v>312</v>
      </c>
      <c r="BA13" t="s">
        <v>313</v>
      </c>
      <c r="BB13" t="s">
        <v>309</v>
      </c>
      <c r="BC13" t="s">
        <v>1317</v>
      </c>
      <c r="BD13" t="s">
        <v>310</v>
      </c>
      <c r="BE13" t="s">
        <v>1619</v>
      </c>
      <c r="BF13">
        <v>2</v>
      </c>
      <c r="BG13" t="s">
        <v>326</v>
      </c>
      <c r="BH13">
        <v>40</v>
      </c>
      <c r="BI13">
        <v>110</v>
      </c>
      <c r="BJ13" t="s">
        <v>1943</v>
      </c>
      <c r="BK13">
        <v>-2</v>
      </c>
      <c r="BL13">
        <v>5</v>
      </c>
      <c r="BM13">
        <v>4</v>
      </c>
      <c r="BN13">
        <v>1</v>
      </c>
      <c r="BO13">
        <v>0</v>
      </c>
    </row>
    <row r="14" spans="1:68">
      <c r="A14" t="s">
        <v>220</v>
      </c>
      <c r="B14" s="90" t="s">
        <v>1344</v>
      </c>
      <c r="C14" t="s">
        <v>1317</v>
      </c>
      <c r="D14" t="s">
        <v>1619</v>
      </c>
      <c r="E14" s="90">
        <v>0</v>
      </c>
      <c r="F14" s="90">
        <v>0</v>
      </c>
      <c r="G14" s="90">
        <v>0</v>
      </c>
      <c r="H14" s="90">
        <v>0</v>
      </c>
      <c r="I14" s="90">
        <v>0</v>
      </c>
      <c r="J14" s="90">
        <v>0</v>
      </c>
      <c r="K14" s="90">
        <v>0</v>
      </c>
      <c r="L14" s="90">
        <v>0</v>
      </c>
      <c r="M14" s="90">
        <v>15</v>
      </c>
      <c r="N14" s="90">
        <v>0</v>
      </c>
      <c r="O14" s="90">
        <v>1</v>
      </c>
      <c r="P14" s="90">
        <v>1</v>
      </c>
      <c r="Q14" s="90" t="s">
        <v>1943</v>
      </c>
      <c r="R14" s="90" t="s">
        <v>1943</v>
      </c>
      <c r="S14" s="90" t="s">
        <v>1943</v>
      </c>
      <c r="T14" s="90" t="s">
        <v>1943</v>
      </c>
      <c r="U14" s="90" t="s">
        <v>1943</v>
      </c>
      <c r="V14" s="90" t="s">
        <v>1943</v>
      </c>
      <c r="W14" s="168" t="s">
        <v>221</v>
      </c>
      <c r="X14" s="90" t="s">
        <v>1980</v>
      </c>
      <c r="Y14" s="90" t="s">
        <v>1977</v>
      </c>
      <c r="Z14" s="90" t="s">
        <v>1977</v>
      </c>
      <c r="AA14" s="90" t="s">
        <v>1977</v>
      </c>
      <c r="AB14" s="90" t="s">
        <v>1977</v>
      </c>
      <c r="AC14" s="90" t="s">
        <v>1977</v>
      </c>
      <c r="AD14" s="242">
        <v>5</v>
      </c>
      <c r="AE14" s="242">
        <v>5</v>
      </c>
      <c r="AF14" s="90" t="s">
        <v>1977</v>
      </c>
      <c r="AG14" s="90" t="s">
        <v>1977</v>
      </c>
      <c r="AH14" s="90" t="s">
        <v>1977</v>
      </c>
      <c r="AI14" s="90" t="s">
        <v>1977</v>
      </c>
      <c r="AJ14" s="90" t="s">
        <v>1977</v>
      </c>
      <c r="AK14" s="90" t="s">
        <v>1977</v>
      </c>
      <c r="AL14" s="90" t="s">
        <v>1977</v>
      </c>
      <c r="AM14" s="90" t="s">
        <v>1977</v>
      </c>
      <c r="AN14" s="90" t="s">
        <v>1977</v>
      </c>
      <c r="AO14" s="90" t="s">
        <v>1977</v>
      </c>
      <c r="AP14" s="90" t="s">
        <v>1977</v>
      </c>
      <c r="AQ14" s="90" t="s">
        <v>1977</v>
      </c>
      <c r="AR14" s="90" t="s">
        <v>1977</v>
      </c>
      <c r="AS14" s="90" t="s">
        <v>1977</v>
      </c>
      <c r="AT14" s="90" t="s">
        <v>1977</v>
      </c>
      <c r="AU14" s="90" t="s">
        <v>1977</v>
      </c>
      <c r="AV14" s="90" t="s">
        <v>1977</v>
      </c>
      <c r="AW14" s="90" t="s">
        <v>1977</v>
      </c>
      <c r="AX14" s="90">
        <v>70</v>
      </c>
      <c r="AY14" s="90">
        <v>0</v>
      </c>
      <c r="AZ14" t="s">
        <v>216</v>
      </c>
      <c r="BA14" t="s">
        <v>222</v>
      </c>
      <c r="BB14" t="s">
        <v>220</v>
      </c>
      <c r="BC14" t="s">
        <v>1317</v>
      </c>
      <c r="BD14" t="s">
        <v>1344</v>
      </c>
      <c r="BE14" t="s">
        <v>1619</v>
      </c>
      <c r="BF14">
        <v>1</v>
      </c>
      <c r="BG14" t="s">
        <v>326</v>
      </c>
      <c r="BH14">
        <v>150</v>
      </c>
      <c r="BI14">
        <v>70</v>
      </c>
      <c r="BJ14" t="s">
        <v>1943</v>
      </c>
      <c r="BK14">
        <v>0</v>
      </c>
      <c r="BL14">
        <v>5</v>
      </c>
      <c r="BM14">
        <v>12</v>
      </c>
      <c r="BN14">
        <v>4</v>
      </c>
      <c r="BO14">
        <v>0</v>
      </c>
    </row>
    <row r="15" spans="1:68">
      <c r="A15" t="s">
        <v>234</v>
      </c>
      <c r="B15" s="90" t="s">
        <v>283</v>
      </c>
      <c r="C15" t="s">
        <v>1317</v>
      </c>
      <c r="D15" t="s">
        <v>1619</v>
      </c>
      <c r="E15" s="90">
        <v>0</v>
      </c>
      <c r="F15" s="90">
        <v>0</v>
      </c>
      <c r="G15" s="90">
        <v>0</v>
      </c>
      <c r="H15" s="90">
        <v>0</v>
      </c>
      <c r="I15" s="90">
        <v>0</v>
      </c>
      <c r="J15" s="90">
        <v>0</v>
      </c>
      <c r="K15" s="90">
        <v>0</v>
      </c>
      <c r="L15" s="90">
        <v>0</v>
      </c>
      <c r="M15" s="90">
        <v>15</v>
      </c>
      <c r="N15" s="90">
        <v>0</v>
      </c>
      <c r="O15" s="90">
        <v>2</v>
      </c>
      <c r="P15" s="90">
        <v>1</v>
      </c>
      <c r="Q15" s="90" t="s">
        <v>1943</v>
      </c>
      <c r="R15" s="90" t="s">
        <v>1943</v>
      </c>
      <c r="S15" s="90" t="s">
        <v>1943</v>
      </c>
      <c r="T15" s="90" t="s">
        <v>1943</v>
      </c>
      <c r="U15" s="90" t="s">
        <v>1943</v>
      </c>
      <c r="V15" s="90" t="s">
        <v>1943</v>
      </c>
      <c r="W15" s="168" t="s">
        <v>235</v>
      </c>
      <c r="X15" s="90" t="s">
        <v>2139</v>
      </c>
      <c r="Y15" s="90" t="s">
        <v>1977</v>
      </c>
      <c r="Z15" s="90" t="s">
        <v>1977</v>
      </c>
      <c r="AA15" s="90" t="s">
        <v>1977</v>
      </c>
      <c r="AB15" s="90" t="s">
        <v>1977</v>
      </c>
      <c r="AC15" s="90" t="s">
        <v>1977</v>
      </c>
      <c r="AD15" s="242">
        <v>5</v>
      </c>
      <c r="AE15" s="242">
        <v>5</v>
      </c>
      <c r="AF15" s="90" t="s">
        <v>1977</v>
      </c>
      <c r="AG15" s="90" t="s">
        <v>1977</v>
      </c>
      <c r="AH15" s="90" t="s">
        <v>1977</v>
      </c>
      <c r="AI15" s="90" t="s">
        <v>1977</v>
      </c>
      <c r="AJ15" s="90" t="s">
        <v>1977</v>
      </c>
      <c r="AK15" s="90" t="s">
        <v>1977</v>
      </c>
      <c r="AL15" s="90" t="s">
        <v>1977</v>
      </c>
      <c r="AM15" s="90" t="s">
        <v>1977</v>
      </c>
      <c r="AN15" s="90" t="s">
        <v>1977</v>
      </c>
      <c r="AO15" s="90" t="s">
        <v>1977</v>
      </c>
      <c r="AP15" s="90" t="s">
        <v>1977</v>
      </c>
      <c r="AQ15" s="90" t="s">
        <v>1977</v>
      </c>
      <c r="AR15" s="90" t="s">
        <v>1977</v>
      </c>
      <c r="AS15" s="90" t="s">
        <v>1977</v>
      </c>
      <c r="AT15" s="90" t="s">
        <v>1977</v>
      </c>
      <c r="AU15" s="90" t="s">
        <v>1977</v>
      </c>
      <c r="AV15" s="90" t="s">
        <v>1977</v>
      </c>
      <c r="AW15" s="90" t="s">
        <v>1977</v>
      </c>
      <c r="AX15" s="90">
        <v>65</v>
      </c>
      <c r="AY15" s="90">
        <v>0</v>
      </c>
      <c r="AZ15" t="s">
        <v>312</v>
      </c>
      <c r="BA15" t="s">
        <v>231</v>
      </c>
      <c r="BB15" t="s">
        <v>234</v>
      </c>
      <c r="BC15" t="s">
        <v>1317</v>
      </c>
      <c r="BD15" t="s">
        <v>283</v>
      </c>
      <c r="BE15" t="s">
        <v>1619</v>
      </c>
      <c r="BF15">
        <v>2</v>
      </c>
      <c r="BG15" t="s">
        <v>326</v>
      </c>
      <c r="BH15">
        <v>100</v>
      </c>
      <c r="BI15">
        <v>65</v>
      </c>
      <c r="BJ15" t="s">
        <v>1943</v>
      </c>
      <c r="BK15">
        <v>0</v>
      </c>
      <c r="BL15">
        <v>5</v>
      </c>
      <c r="BM15">
        <v>10</v>
      </c>
      <c r="BN15">
        <v>3</v>
      </c>
      <c r="BO15">
        <v>0</v>
      </c>
    </row>
    <row r="16" spans="1:68">
      <c r="A16" t="s">
        <v>314</v>
      </c>
      <c r="B16" s="90" t="s">
        <v>334</v>
      </c>
      <c r="C16" t="s">
        <v>2277</v>
      </c>
      <c r="D16" t="s">
        <v>1619</v>
      </c>
      <c r="E16" s="90">
        <v>0</v>
      </c>
      <c r="F16" s="90">
        <v>0</v>
      </c>
      <c r="G16" s="90">
        <v>0</v>
      </c>
      <c r="H16" s="90">
        <v>0</v>
      </c>
      <c r="I16" s="90">
        <v>0</v>
      </c>
      <c r="J16" s="90">
        <v>0</v>
      </c>
      <c r="K16" s="90">
        <v>0</v>
      </c>
      <c r="L16" s="90">
        <v>0</v>
      </c>
      <c r="M16" s="90">
        <v>15</v>
      </c>
      <c r="N16" s="90">
        <v>0</v>
      </c>
      <c r="O16" s="90">
        <v>3</v>
      </c>
      <c r="P16" s="90">
        <v>-5</v>
      </c>
      <c r="Q16" s="90" t="s">
        <v>322</v>
      </c>
      <c r="R16" s="90" t="s">
        <v>322</v>
      </c>
      <c r="S16" s="90" t="s">
        <v>322</v>
      </c>
      <c r="T16" s="90" t="s">
        <v>322</v>
      </c>
      <c r="U16" s="90" t="s">
        <v>322</v>
      </c>
      <c r="V16" s="90" t="s">
        <v>322</v>
      </c>
      <c r="W16" s="168" t="s">
        <v>315</v>
      </c>
      <c r="X16" s="90" t="s">
        <v>1514</v>
      </c>
      <c r="Y16" s="90" t="s">
        <v>2278</v>
      </c>
      <c r="Z16" s="90" t="s">
        <v>2278</v>
      </c>
      <c r="AA16" s="90" t="s">
        <v>1977</v>
      </c>
      <c r="AB16" s="90" t="s">
        <v>1977</v>
      </c>
      <c r="AC16" s="90" t="s">
        <v>1977</v>
      </c>
      <c r="AD16" s="242">
        <v>5</v>
      </c>
      <c r="AE16" s="242">
        <v>5</v>
      </c>
      <c r="AF16" s="90" t="s">
        <v>1977</v>
      </c>
      <c r="AG16" s="90" t="s">
        <v>1977</v>
      </c>
      <c r="AH16" s="90" t="s">
        <v>1977</v>
      </c>
      <c r="AI16" s="90" t="s">
        <v>1977</v>
      </c>
      <c r="AJ16" s="90" t="s">
        <v>1977</v>
      </c>
      <c r="AK16" s="90" t="s">
        <v>1977</v>
      </c>
      <c r="AL16" s="90" t="s">
        <v>1977</v>
      </c>
      <c r="AM16" s="90" t="s">
        <v>1977</v>
      </c>
      <c r="AN16" s="90" t="s">
        <v>1977</v>
      </c>
      <c r="AO16" s="90" t="s">
        <v>1977</v>
      </c>
      <c r="AP16" s="90" t="s">
        <v>1977</v>
      </c>
      <c r="AQ16" s="90" t="s">
        <v>1977</v>
      </c>
      <c r="AR16" s="90" t="s">
        <v>1977</v>
      </c>
      <c r="AS16" s="90" t="s">
        <v>1977</v>
      </c>
      <c r="AT16" s="90" t="s">
        <v>1977</v>
      </c>
      <c r="AU16" s="90" t="s">
        <v>1977</v>
      </c>
      <c r="AV16" s="90" t="s">
        <v>1977</v>
      </c>
      <c r="AW16" s="90" t="s">
        <v>1977</v>
      </c>
      <c r="AX16" s="90">
        <v>100</v>
      </c>
      <c r="AY16" s="90">
        <v>0</v>
      </c>
      <c r="AZ16" t="s">
        <v>312</v>
      </c>
      <c r="BA16" t="s">
        <v>313</v>
      </c>
      <c r="BB16" t="s">
        <v>314</v>
      </c>
      <c r="BC16" t="s">
        <v>2277</v>
      </c>
      <c r="BD16" t="s">
        <v>334</v>
      </c>
      <c r="BE16" t="s">
        <v>1619</v>
      </c>
      <c r="BF16">
        <v>3</v>
      </c>
      <c r="BG16" t="s">
        <v>326</v>
      </c>
      <c r="BH16">
        <v>10</v>
      </c>
      <c r="BI16">
        <v>100</v>
      </c>
      <c r="BJ16" t="s">
        <v>322</v>
      </c>
      <c r="BK16">
        <v>-4</v>
      </c>
      <c r="BL16">
        <v>1</v>
      </c>
      <c r="BM16">
        <v>1</v>
      </c>
      <c r="BN16">
        <v>8</v>
      </c>
      <c r="BO16">
        <v>0</v>
      </c>
    </row>
    <row r="17" spans="1:68">
      <c r="A17" t="s">
        <v>2206</v>
      </c>
      <c r="B17" s="145" t="s">
        <v>716</v>
      </c>
      <c r="C17" t="s">
        <v>846</v>
      </c>
      <c r="D17" t="s">
        <v>847</v>
      </c>
      <c r="E17" s="90">
        <f>P17</f>
        <v>0</v>
      </c>
      <c r="F17" s="90">
        <v>-2</v>
      </c>
      <c r="G17" s="90">
        <v>-2</v>
      </c>
      <c r="H17" s="90">
        <v>7</v>
      </c>
      <c r="I17" s="90">
        <v>-5</v>
      </c>
      <c r="J17" s="90">
        <v>4</v>
      </c>
      <c r="K17" s="90">
        <v>-2</v>
      </c>
      <c r="L17" s="90">
        <v>-2</v>
      </c>
      <c r="M17" s="90">
        <v>0</v>
      </c>
      <c r="N17" s="90">
        <v>-2</v>
      </c>
      <c r="O17" s="90">
        <v>0</v>
      </c>
      <c r="P17" s="90">
        <v>0</v>
      </c>
      <c r="Q17" s="90" t="s">
        <v>848</v>
      </c>
      <c r="R17" s="90" t="s">
        <v>848</v>
      </c>
      <c r="S17" s="90" t="s">
        <v>848</v>
      </c>
      <c r="T17" s="90" t="s">
        <v>848</v>
      </c>
      <c r="U17" s="90"/>
      <c r="V17" s="90"/>
      <c r="W17" s="90" t="s">
        <v>715</v>
      </c>
      <c r="X17" s="90" t="s">
        <v>849</v>
      </c>
      <c r="Y17" s="90" t="s">
        <v>849</v>
      </c>
      <c r="Z17" s="90" t="s">
        <v>850</v>
      </c>
      <c r="AA17" s="90" t="s">
        <v>1977</v>
      </c>
      <c r="AB17" s="90" t="s">
        <v>1977</v>
      </c>
      <c r="AC17" s="90" t="s">
        <v>1977</v>
      </c>
      <c r="AD17" s="90">
        <v>7</v>
      </c>
      <c r="AE17" s="90">
        <v>7</v>
      </c>
      <c r="AF17" s="90" t="s">
        <v>1977</v>
      </c>
      <c r="AG17" s="90" t="s">
        <v>1977</v>
      </c>
      <c r="AH17" s="90" t="s">
        <v>1977</v>
      </c>
      <c r="AI17" s="90" t="s">
        <v>1977</v>
      </c>
      <c r="AJ17" s="90" t="s">
        <v>1977</v>
      </c>
      <c r="AK17" s="90" t="s">
        <v>1977</v>
      </c>
      <c r="AL17" s="90" t="s">
        <v>1977</v>
      </c>
      <c r="AM17" s="90" t="s">
        <v>1977</v>
      </c>
      <c r="AN17" s="90" t="s">
        <v>1977</v>
      </c>
      <c r="AO17" s="90" t="s">
        <v>1977</v>
      </c>
      <c r="AP17" s="90" t="s">
        <v>1977</v>
      </c>
      <c r="AQ17" s="90" t="s">
        <v>1977</v>
      </c>
      <c r="AR17" s="90" t="s">
        <v>1977</v>
      </c>
      <c r="AS17" s="90" t="s">
        <v>1977</v>
      </c>
      <c r="AT17" s="90" t="s">
        <v>1977</v>
      </c>
      <c r="AU17" s="90" t="s">
        <v>1977</v>
      </c>
      <c r="AV17" s="90" t="s">
        <v>1977</v>
      </c>
      <c r="AW17" s="90" t="s">
        <v>1977</v>
      </c>
      <c r="AX17" s="90">
        <v>-2</v>
      </c>
      <c r="AY17" s="90">
        <f>IF(U17&gt;0,"Yes",0)</f>
        <v>0</v>
      </c>
      <c r="AZ17" s="90"/>
      <c r="BB17" s="90"/>
      <c r="BC17" s="90"/>
      <c r="BD17" s="90"/>
      <c r="BE17" s="90"/>
      <c r="BF17" s="90"/>
      <c r="BG17" s="90"/>
      <c r="BH17" s="90"/>
      <c r="BI17" s="90"/>
      <c r="BJ17" s="90"/>
      <c r="BK17" s="90"/>
      <c r="BL17" s="90"/>
      <c r="BM17" s="90"/>
      <c r="BN17" s="90"/>
      <c r="BO17" s="90"/>
    </row>
    <row r="18" spans="1:68">
      <c r="A18" t="s">
        <v>49</v>
      </c>
      <c r="B18" s="90" t="s">
        <v>310</v>
      </c>
      <c r="C18" t="s">
        <v>1317</v>
      </c>
      <c r="D18" t="s">
        <v>1619</v>
      </c>
      <c r="E18" s="90">
        <v>0</v>
      </c>
      <c r="F18" s="90">
        <v>0</v>
      </c>
      <c r="G18" s="90">
        <v>0</v>
      </c>
      <c r="H18" s="90">
        <v>0</v>
      </c>
      <c r="I18" s="90">
        <v>0</v>
      </c>
      <c r="J18" s="90">
        <v>0</v>
      </c>
      <c r="K18" s="90">
        <v>0</v>
      </c>
      <c r="L18" s="90">
        <v>0</v>
      </c>
      <c r="M18" s="90">
        <v>15</v>
      </c>
      <c r="N18" s="90">
        <v>0</v>
      </c>
      <c r="O18" s="90">
        <v>2</v>
      </c>
      <c r="P18" s="90">
        <v>-9</v>
      </c>
      <c r="Q18" s="90" t="s">
        <v>1943</v>
      </c>
      <c r="R18" s="90" t="s">
        <v>1943</v>
      </c>
      <c r="S18" s="90" t="s">
        <v>1943</v>
      </c>
      <c r="T18" s="90" t="s">
        <v>1943</v>
      </c>
      <c r="U18" s="90" t="s">
        <v>1943</v>
      </c>
      <c r="V18" s="90" t="s">
        <v>1943</v>
      </c>
      <c r="W18" s="168" t="s">
        <v>48</v>
      </c>
      <c r="X18" s="90" t="s">
        <v>1514</v>
      </c>
      <c r="Y18" s="90" t="s">
        <v>1977</v>
      </c>
      <c r="Z18" s="90" t="s">
        <v>1977</v>
      </c>
      <c r="AA18" s="90" t="s">
        <v>1977</v>
      </c>
      <c r="AB18" s="90" t="s">
        <v>1977</v>
      </c>
      <c r="AC18" s="90" t="s">
        <v>1977</v>
      </c>
      <c r="AD18" s="242">
        <v>5</v>
      </c>
      <c r="AE18" s="242">
        <v>5</v>
      </c>
      <c r="AF18" s="90" t="s">
        <v>1977</v>
      </c>
      <c r="AG18" s="90" t="s">
        <v>1977</v>
      </c>
      <c r="AH18" s="90" t="s">
        <v>1977</v>
      </c>
      <c r="AI18" s="90" t="s">
        <v>1977</v>
      </c>
      <c r="AJ18" s="90" t="s">
        <v>1977</v>
      </c>
      <c r="AK18" s="90" t="s">
        <v>1977</v>
      </c>
      <c r="AL18" s="90" t="s">
        <v>1977</v>
      </c>
      <c r="AM18" s="90" t="s">
        <v>1977</v>
      </c>
      <c r="AN18" s="90" t="s">
        <v>1977</v>
      </c>
      <c r="AO18" s="90" t="s">
        <v>1977</v>
      </c>
      <c r="AP18" s="90" t="s">
        <v>1977</v>
      </c>
      <c r="AQ18" s="90" t="s">
        <v>1977</v>
      </c>
      <c r="AR18" s="90" t="s">
        <v>1977</v>
      </c>
      <c r="AS18" s="90" t="s">
        <v>1977</v>
      </c>
      <c r="AT18" s="90" t="s">
        <v>1977</v>
      </c>
      <c r="AU18" s="90" t="s">
        <v>1977</v>
      </c>
      <c r="AV18" s="90" t="s">
        <v>1977</v>
      </c>
      <c r="AW18" s="90" t="s">
        <v>1977</v>
      </c>
      <c r="AX18" s="90">
        <v>30</v>
      </c>
      <c r="AY18" s="90">
        <v>0</v>
      </c>
      <c r="AZ18" t="s">
        <v>324</v>
      </c>
      <c r="BA18" t="s">
        <v>45</v>
      </c>
      <c r="BB18" t="s">
        <v>49</v>
      </c>
      <c r="BC18" t="s">
        <v>1317</v>
      </c>
      <c r="BD18" t="s">
        <v>310</v>
      </c>
      <c r="BE18" t="s">
        <v>1619</v>
      </c>
      <c r="BF18">
        <v>2</v>
      </c>
      <c r="BG18" t="s">
        <v>326</v>
      </c>
      <c r="BH18">
        <v>2</v>
      </c>
      <c r="BI18">
        <v>30</v>
      </c>
      <c r="BJ18" t="s">
        <v>1943</v>
      </c>
      <c r="BK18">
        <v>-6</v>
      </c>
      <c r="BL18">
        <v>1</v>
      </c>
      <c r="BM18">
        <v>1</v>
      </c>
      <c r="BN18">
        <v>0</v>
      </c>
      <c r="BO18">
        <v>0</v>
      </c>
    </row>
    <row r="19" spans="1:68">
      <c r="A19" t="s">
        <v>208</v>
      </c>
      <c r="B19" s="90" t="s">
        <v>258</v>
      </c>
      <c r="C19" t="s">
        <v>1022</v>
      </c>
      <c r="D19" t="s">
        <v>1098</v>
      </c>
      <c r="E19" s="90">
        <v>0</v>
      </c>
      <c r="F19" s="90">
        <v>0</v>
      </c>
      <c r="G19" s="90">
        <v>0</v>
      </c>
      <c r="H19" s="90">
        <v>0</v>
      </c>
      <c r="I19" s="90">
        <v>0</v>
      </c>
      <c r="J19" s="90">
        <v>0</v>
      </c>
      <c r="K19" s="90">
        <v>0</v>
      </c>
      <c r="L19" s="90">
        <v>0</v>
      </c>
      <c r="M19" s="90">
        <v>15</v>
      </c>
      <c r="N19" s="90">
        <v>0</v>
      </c>
      <c r="O19" s="90">
        <v>7</v>
      </c>
      <c r="P19" s="90">
        <v>-3</v>
      </c>
      <c r="Q19" s="90" t="s">
        <v>1943</v>
      </c>
      <c r="R19" s="90" t="s">
        <v>1943</v>
      </c>
      <c r="S19" s="90" t="s">
        <v>1943</v>
      </c>
      <c r="T19" s="90" t="s">
        <v>1943</v>
      </c>
      <c r="U19" s="90" t="s">
        <v>1943</v>
      </c>
      <c r="V19" s="90" t="s">
        <v>1943</v>
      </c>
      <c r="W19" s="168" t="s">
        <v>209</v>
      </c>
      <c r="X19" s="90" t="s">
        <v>1514</v>
      </c>
      <c r="Y19" s="90" t="s">
        <v>1977</v>
      </c>
      <c r="Z19" s="90" t="s">
        <v>1977</v>
      </c>
      <c r="AA19" s="90" t="s">
        <v>1977</v>
      </c>
      <c r="AB19" s="90" t="s">
        <v>1977</v>
      </c>
      <c r="AC19" s="90" t="s">
        <v>1977</v>
      </c>
      <c r="AD19" s="242">
        <v>10</v>
      </c>
      <c r="AE19" s="242">
        <v>10</v>
      </c>
      <c r="AF19" s="90" t="s">
        <v>1977</v>
      </c>
      <c r="AG19" s="90" t="s">
        <v>1977</v>
      </c>
      <c r="AH19" s="90" t="s">
        <v>1977</v>
      </c>
      <c r="AI19" s="90" t="s">
        <v>1977</v>
      </c>
      <c r="AJ19" s="90" t="s">
        <v>1977</v>
      </c>
      <c r="AK19" s="90" t="s">
        <v>1977</v>
      </c>
      <c r="AL19" s="90" t="s">
        <v>1977</v>
      </c>
      <c r="AM19" s="90" t="s">
        <v>1977</v>
      </c>
      <c r="AN19" s="90" t="s">
        <v>1977</v>
      </c>
      <c r="AO19" s="90" t="s">
        <v>1977</v>
      </c>
      <c r="AP19" s="90" t="s">
        <v>1977</v>
      </c>
      <c r="AQ19" s="90" t="s">
        <v>1977</v>
      </c>
      <c r="AR19" s="90" t="s">
        <v>1977</v>
      </c>
      <c r="AS19" s="90" t="s">
        <v>1977</v>
      </c>
      <c r="AT19" s="90" t="s">
        <v>1977</v>
      </c>
      <c r="AU19" s="90" t="s">
        <v>1977</v>
      </c>
      <c r="AV19" s="90" t="s">
        <v>1977</v>
      </c>
      <c r="AW19" s="90" t="s">
        <v>1977</v>
      </c>
      <c r="AX19" s="90">
        <v>100</v>
      </c>
      <c r="AY19" s="90">
        <v>0</v>
      </c>
      <c r="AZ19" t="s">
        <v>324</v>
      </c>
      <c r="BA19" t="s">
        <v>210</v>
      </c>
      <c r="BB19" t="s">
        <v>208</v>
      </c>
      <c r="BC19" t="s">
        <v>1022</v>
      </c>
      <c r="BD19" t="s">
        <v>258</v>
      </c>
      <c r="BE19" t="s">
        <v>1098</v>
      </c>
      <c r="BF19">
        <v>7</v>
      </c>
      <c r="BG19" t="s">
        <v>330</v>
      </c>
      <c r="BH19">
        <v>25</v>
      </c>
      <c r="BI19">
        <v>100</v>
      </c>
      <c r="BJ19" t="s">
        <v>1943</v>
      </c>
      <c r="BK19">
        <v>-2</v>
      </c>
      <c r="BL19">
        <v>1</v>
      </c>
      <c r="BM19">
        <v>5</v>
      </c>
      <c r="BN19">
        <v>3</v>
      </c>
      <c r="BO19">
        <v>-3</v>
      </c>
    </row>
    <row r="20" spans="1:68">
      <c r="A20" t="s">
        <v>1522</v>
      </c>
      <c r="B20" s="90" t="s">
        <v>283</v>
      </c>
      <c r="C20" t="s">
        <v>1317</v>
      </c>
      <c r="D20" t="s">
        <v>1619</v>
      </c>
      <c r="E20" s="90">
        <v>0</v>
      </c>
      <c r="F20" s="90">
        <v>0</v>
      </c>
      <c r="G20" s="90">
        <v>0</v>
      </c>
      <c r="H20" s="90">
        <v>0</v>
      </c>
      <c r="I20" s="90">
        <v>0</v>
      </c>
      <c r="J20" s="90">
        <v>0</v>
      </c>
      <c r="K20" s="90">
        <v>0</v>
      </c>
      <c r="L20" s="90">
        <v>0</v>
      </c>
      <c r="M20" s="90">
        <v>15</v>
      </c>
      <c r="N20" s="90">
        <v>0</v>
      </c>
      <c r="O20" s="90">
        <v>2</v>
      </c>
      <c r="P20" s="90">
        <v>3</v>
      </c>
      <c r="Q20" s="90" t="s">
        <v>1943</v>
      </c>
      <c r="R20" s="90" t="s">
        <v>1943</v>
      </c>
      <c r="S20" s="90" t="s">
        <v>1943</v>
      </c>
      <c r="T20" s="90" t="s">
        <v>1943</v>
      </c>
      <c r="U20" s="90" t="s">
        <v>1943</v>
      </c>
      <c r="V20" s="90" t="s">
        <v>1943</v>
      </c>
      <c r="W20" s="168" t="s">
        <v>90</v>
      </c>
      <c r="X20" s="90" t="s">
        <v>1260</v>
      </c>
      <c r="Y20" s="90" t="s">
        <v>1977</v>
      </c>
      <c r="Z20" s="90" t="s">
        <v>1977</v>
      </c>
      <c r="AA20" s="90" t="s">
        <v>1977</v>
      </c>
      <c r="AB20" s="90" t="s">
        <v>1977</v>
      </c>
      <c r="AC20" s="90" t="s">
        <v>1977</v>
      </c>
      <c r="AD20" s="242">
        <v>5</v>
      </c>
      <c r="AE20" s="242">
        <v>5</v>
      </c>
      <c r="AF20" s="90" t="s">
        <v>1977</v>
      </c>
      <c r="AG20" s="90" t="s">
        <v>1977</v>
      </c>
      <c r="AH20" s="90" t="s">
        <v>1977</v>
      </c>
      <c r="AI20" s="90" t="s">
        <v>1977</v>
      </c>
      <c r="AJ20" s="90" t="s">
        <v>1977</v>
      </c>
      <c r="AK20" s="90" t="s">
        <v>1977</v>
      </c>
      <c r="AL20" s="90" t="s">
        <v>1977</v>
      </c>
      <c r="AM20" s="90" t="s">
        <v>1977</v>
      </c>
      <c r="AN20" s="90" t="s">
        <v>1977</v>
      </c>
      <c r="AO20" s="90" t="s">
        <v>1977</v>
      </c>
      <c r="AP20" s="90" t="s">
        <v>1977</v>
      </c>
      <c r="AQ20" s="90" t="s">
        <v>1977</v>
      </c>
      <c r="AR20" s="90" t="s">
        <v>1977</v>
      </c>
      <c r="AS20" s="90" t="s">
        <v>1977</v>
      </c>
      <c r="AT20" s="90" t="s">
        <v>1977</v>
      </c>
      <c r="AU20" s="90" t="s">
        <v>1977</v>
      </c>
      <c r="AV20" s="90" t="s">
        <v>1977</v>
      </c>
      <c r="AW20" s="90" t="s">
        <v>1977</v>
      </c>
      <c r="AX20" s="90">
        <v>55</v>
      </c>
      <c r="AY20" s="90">
        <v>0</v>
      </c>
      <c r="AZ20" t="s">
        <v>91</v>
      </c>
      <c r="BA20" t="s">
        <v>92</v>
      </c>
      <c r="BB20" t="s">
        <v>1522</v>
      </c>
      <c r="BC20" t="s">
        <v>1317</v>
      </c>
      <c r="BD20" t="s">
        <v>283</v>
      </c>
      <c r="BE20" t="s">
        <v>1619</v>
      </c>
      <c r="BF20">
        <v>2</v>
      </c>
      <c r="BG20" t="s">
        <v>326</v>
      </c>
      <c r="BH20">
        <v>1000</v>
      </c>
      <c r="BI20">
        <v>55</v>
      </c>
      <c r="BJ20" t="s">
        <v>1943</v>
      </c>
      <c r="BK20">
        <v>0</v>
      </c>
      <c r="BL20">
        <v>8</v>
      </c>
      <c r="BM20">
        <v>12</v>
      </c>
      <c r="BN20">
        <v>20</v>
      </c>
      <c r="BO20">
        <v>0</v>
      </c>
    </row>
    <row r="21" spans="1:68">
      <c r="A21" t="s">
        <v>205</v>
      </c>
      <c r="B21" s="90" t="s">
        <v>1000</v>
      </c>
      <c r="C21" t="s">
        <v>1317</v>
      </c>
      <c r="D21" t="s">
        <v>1619</v>
      </c>
      <c r="E21" s="90">
        <v>0</v>
      </c>
      <c r="F21" s="90">
        <v>0</v>
      </c>
      <c r="G21" s="90">
        <v>0</v>
      </c>
      <c r="H21" s="90">
        <v>0</v>
      </c>
      <c r="I21" s="90">
        <v>0</v>
      </c>
      <c r="J21" s="90">
        <v>0</v>
      </c>
      <c r="K21" s="90">
        <v>0</v>
      </c>
      <c r="L21" s="90">
        <v>0</v>
      </c>
      <c r="M21" s="90">
        <v>15</v>
      </c>
      <c r="N21" s="90">
        <v>0</v>
      </c>
      <c r="O21" s="90">
        <v>1</v>
      </c>
      <c r="P21" s="90">
        <v>0</v>
      </c>
      <c r="Q21" s="90" t="s">
        <v>1943</v>
      </c>
      <c r="R21" s="90" t="s">
        <v>1943</v>
      </c>
      <c r="S21" s="90" t="s">
        <v>1943</v>
      </c>
      <c r="T21" s="90" t="s">
        <v>1943</v>
      </c>
      <c r="U21" s="90" t="s">
        <v>1943</v>
      </c>
      <c r="V21" s="90" t="s">
        <v>1943</v>
      </c>
      <c r="W21" s="168" t="s">
        <v>206</v>
      </c>
      <c r="X21" s="90" t="s">
        <v>1980</v>
      </c>
      <c r="Y21" s="90" t="s">
        <v>1019</v>
      </c>
      <c r="Z21" s="90" t="s">
        <v>1977</v>
      </c>
      <c r="AA21" s="90" t="s">
        <v>1977</v>
      </c>
      <c r="AB21" s="90" t="s">
        <v>1977</v>
      </c>
      <c r="AC21" s="90" t="s">
        <v>1977</v>
      </c>
      <c r="AD21" s="242">
        <v>5</v>
      </c>
      <c r="AE21" s="242">
        <v>5</v>
      </c>
      <c r="AF21" s="90" t="s">
        <v>1977</v>
      </c>
      <c r="AG21" s="90" t="s">
        <v>1977</v>
      </c>
      <c r="AH21" s="90" t="s">
        <v>1977</v>
      </c>
      <c r="AI21" s="90" t="s">
        <v>1977</v>
      </c>
      <c r="AJ21" s="90" t="s">
        <v>1977</v>
      </c>
      <c r="AK21" s="90" t="s">
        <v>1977</v>
      </c>
      <c r="AL21" s="90" t="s">
        <v>1977</v>
      </c>
      <c r="AM21" s="90" t="s">
        <v>1977</v>
      </c>
      <c r="AN21" s="90" t="s">
        <v>1977</v>
      </c>
      <c r="AO21" s="90" t="s">
        <v>1977</v>
      </c>
      <c r="AP21" s="90" t="s">
        <v>1977</v>
      </c>
      <c r="AQ21" s="90" t="s">
        <v>1977</v>
      </c>
      <c r="AR21" s="90" t="s">
        <v>1977</v>
      </c>
      <c r="AS21" s="90" t="s">
        <v>1977</v>
      </c>
      <c r="AT21" s="90" t="s">
        <v>1977</v>
      </c>
      <c r="AU21" s="90" t="s">
        <v>1977</v>
      </c>
      <c r="AV21" s="90" t="s">
        <v>1977</v>
      </c>
      <c r="AW21" s="90" t="s">
        <v>1977</v>
      </c>
      <c r="AX21" s="90">
        <v>60</v>
      </c>
      <c r="AY21" s="90">
        <v>0</v>
      </c>
      <c r="AZ21" t="s">
        <v>324</v>
      </c>
      <c r="BA21" t="s">
        <v>207</v>
      </c>
      <c r="BB21" t="s">
        <v>205</v>
      </c>
      <c r="BC21" t="s">
        <v>1317</v>
      </c>
      <c r="BD21" t="s">
        <v>1000</v>
      </c>
      <c r="BE21" t="s">
        <v>1619</v>
      </c>
      <c r="BF21">
        <v>1</v>
      </c>
      <c r="BG21" t="s">
        <v>326</v>
      </c>
      <c r="BH21">
        <v>80</v>
      </c>
      <c r="BI21">
        <v>60</v>
      </c>
      <c r="BJ21" t="s">
        <v>1943</v>
      </c>
      <c r="BK21">
        <v>0</v>
      </c>
      <c r="BL21">
        <v>4</v>
      </c>
      <c r="BM21">
        <v>8</v>
      </c>
      <c r="BN21">
        <v>2</v>
      </c>
      <c r="BO21">
        <v>0</v>
      </c>
    </row>
    <row r="22" spans="1:68">
      <c r="A22" t="s">
        <v>829</v>
      </c>
      <c r="B22" s="90" t="s">
        <v>1215</v>
      </c>
      <c r="C22" t="s">
        <v>1022</v>
      </c>
      <c r="D22" t="s">
        <v>1109</v>
      </c>
      <c r="E22" s="90">
        <f>P22</f>
        <v>-1</v>
      </c>
      <c r="F22" s="90">
        <v>0</v>
      </c>
      <c r="G22" s="90">
        <v>1</v>
      </c>
      <c r="H22" s="90">
        <v>0</v>
      </c>
      <c r="I22" s="90">
        <v>0</v>
      </c>
      <c r="J22" s="90">
        <v>0</v>
      </c>
      <c r="K22" s="90">
        <v>0</v>
      </c>
      <c r="L22" s="90">
        <v>0</v>
      </c>
      <c r="M22" s="90">
        <v>15</v>
      </c>
      <c r="N22" s="90">
        <v>0</v>
      </c>
      <c r="O22" s="90">
        <v>-1</v>
      </c>
      <c r="P22" s="90">
        <v>-1</v>
      </c>
      <c r="Q22" s="7" t="s">
        <v>1511</v>
      </c>
      <c r="R22" s="7" t="s">
        <v>1511</v>
      </c>
      <c r="S22" s="7" t="s">
        <v>1511</v>
      </c>
      <c r="T22" s="7" t="s">
        <v>1511</v>
      </c>
      <c r="U22" s="90"/>
      <c r="V22" s="90"/>
      <c r="W22" s="138" t="s">
        <v>1502</v>
      </c>
      <c r="X22" s="90" t="s">
        <v>1608</v>
      </c>
      <c r="Y22" s="90" t="s">
        <v>1608</v>
      </c>
      <c r="Z22" s="90" t="s">
        <v>1514</v>
      </c>
      <c r="AA22" s="90" t="s">
        <v>1977</v>
      </c>
      <c r="AB22" s="90" t="s">
        <v>1977</v>
      </c>
      <c r="AC22" s="90" t="s">
        <v>1977</v>
      </c>
      <c r="AD22" s="242">
        <v>8</v>
      </c>
      <c r="AE22" s="242">
        <v>2</v>
      </c>
      <c r="AF22" s="90" t="s">
        <v>1977</v>
      </c>
      <c r="AG22" s="90" t="s">
        <v>1977</v>
      </c>
      <c r="AH22" s="90" t="s">
        <v>1977</v>
      </c>
      <c r="AI22" s="90" t="s">
        <v>1977</v>
      </c>
      <c r="AJ22" s="90" t="s">
        <v>1977</v>
      </c>
      <c r="AK22" s="242" t="s">
        <v>1736</v>
      </c>
      <c r="AL22" s="90" t="s">
        <v>1977</v>
      </c>
      <c r="AM22" s="90" t="s">
        <v>1977</v>
      </c>
      <c r="AN22" s="90" t="s">
        <v>1977</v>
      </c>
      <c r="AO22" s="90" t="s">
        <v>1977</v>
      </c>
      <c r="AP22" s="90" t="s">
        <v>1977</v>
      </c>
      <c r="AQ22" s="90" t="s">
        <v>1977</v>
      </c>
      <c r="AR22" s="90" t="s">
        <v>1977</v>
      </c>
      <c r="AS22" s="90" t="s">
        <v>1977</v>
      </c>
      <c r="AT22" s="90" t="s">
        <v>1977</v>
      </c>
      <c r="AU22" s="90" t="s">
        <v>1977</v>
      </c>
      <c r="AV22" s="90" t="s">
        <v>1977</v>
      </c>
      <c r="AW22" s="90" t="s">
        <v>1977</v>
      </c>
      <c r="AX22" s="242">
        <v>2</v>
      </c>
      <c r="AY22" s="90">
        <f>IF(U22&gt;0,"Yes",0)</f>
        <v>0</v>
      </c>
      <c r="BA22"/>
    </row>
    <row r="23" spans="1:68">
      <c r="A23" t="s">
        <v>1113</v>
      </c>
      <c r="B23" s="90">
        <v>1</v>
      </c>
      <c r="C23" t="s">
        <v>1022</v>
      </c>
      <c r="D23" t="s">
        <v>1109</v>
      </c>
      <c r="E23" s="90">
        <f>P23</f>
        <v>-1</v>
      </c>
      <c r="F23" s="90">
        <v>0</v>
      </c>
      <c r="G23" s="90">
        <v>3</v>
      </c>
      <c r="H23" s="90">
        <v>0</v>
      </c>
      <c r="I23" s="90">
        <v>0</v>
      </c>
      <c r="J23" s="90">
        <v>0</v>
      </c>
      <c r="K23" s="90">
        <v>0</v>
      </c>
      <c r="L23" s="90">
        <v>0</v>
      </c>
      <c r="M23" s="90">
        <v>15</v>
      </c>
      <c r="N23" s="90">
        <v>0</v>
      </c>
      <c r="O23" s="90">
        <v>-1</v>
      </c>
      <c r="P23" s="90">
        <v>-1</v>
      </c>
      <c r="Q23" s="7" t="s">
        <v>1511</v>
      </c>
      <c r="R23" s="7" t="s">
        <v>1511</v>
      </c>
      <c r="S23" s="7" t="s">
        <v>1511</v>
      </c>
      <c r="T23" s="7" t="s">
        <v>1511</v>
      </c>
      <c r="U23" s="90" t="s">
        <v>1943</v>
      </c>
      <c r="V23" s="90"/>
      <c r="W23" s="90" t="s">
        <v>1736</v>
      </c>
      <c r="X23" s="90" t="s">
        <v>1608</v>
      </c>
      <c r="Y23" s="90" t="s">
        <v>1608</v>
      </c>
      <c r="Z23" s="90" t="s">
        <v>1514</v>
      </c>
      <c r="AA23" s="90" t="s">
        <v>1977</v>
      </c>
      <c r="AB23" s="90" t="s">
        <v>1977</v>
      </c>
      <c r="AC23" s="90" t="s">
        <v>1977</v>
      </c>
      <c r="AD23" s="242">
        <v>8</v>
      </c>
      <c r="AE23" s="242">
        <v>2</v>
      </c>
      <c r="AF23" s="90" t="s">
        <v>1977</v>
      </c>
      <c r="AG23" s="90" t="s">
        <v>1977</v>
      </c>
      <c r="AH23" s="90" t="s">
        <v>1977</v>
      </c>
      <c r="AI23" s="90" t="s">
        <v>1977</v>
      </c>
      <c r="AJ23" s="90" t="s">
        <v>1977</v>
      </c>
      <c r="AK23" s="242" t="s">
        <v>1736</v>
      </c>
      <c r="AL23" s="90" t="s">
        <v>1977</v>
      </c>
      <c r="AM23" s="90" t="s">
        <v>1977</v>
      </c>
      <c r="AN23" s="90" t="s">
        <v>1977</v>
      </c>
      <c r="AO23" s="90" t="s">
        <v>1977</v>
      </c>
      <c r="AP23" s="90" t="s">
        <v>1977</v>
      </c>
      <c r="AQ23" s="90" t="s">
        <v>1977</v>
      </c>
      <c r="AR23" s="90" t="s">
        <v>1977</v>
      </c>
      <c r="AS23" s="90" t="s">
        <v>1977</v>
      </c>
      <c r="AT23" s="90" t="s">
        <v>1977</v>
      </c>
      <c r="AU23" s="90" t="s">
        <v>1977</v>
      </c>
      <c r="AV23" s="90" t="s">
        <v>1977</v>
      </c>
      <c r="AW23" s="90" t="s">
        <v>1977</v>
      </c>
      <c r="AX23" s="242">
        <v>3</v>
      </c>
      <c r="AY23" s="90" t="str">
        <f>IF(U23&gt;0,"Yes",0)</f>
        <v>Yes</v>
      </c>
      <c r="BA23"/>
    </row>
    <row r="24" spans="1:68">
      <c r="A24" t="s">
        <v>1112</v>
      </c>
      <c r="B24" s="90" t="s">
        <v>1115</v>
      </c>
      <c r="C24" t="s">
        <v>1022</v>
      </c>
      <c r="D24" t="s">
        <v>1109</v>
      </c>
      <c r="E24" s="90">
        <f>P24</f>
        <v>-2</v>
      </c>
      <c r="F24" s="90">
        <v>0</v>
      </c>
      <c r="G24" s="90">
        <v>2</v>
      </c>
      <c r="H24" s="90">
        <v>0</v>
      </c>
      <c r="I24" s="90">
        <v>0</v>
      </c>
      <c r="J24" s="90">
        <v>0</v>
      </c>
      <c r="K24" s="90">
        <v>0</v>
      </c>
      <c r="L24" s="90">
        <v>0</v>
      </c>
      <c r="M24" s="90">
        <v>15</v>
      </c>
      <c r="N24" s="90">
        <v>0</v>
      </c>
      <c r="O24" s="90">
        <v>-2</v>
      </c>
      <c r="P24" s="90">
        <v>-2</v>
      </c>
      <c r="Q24" s="7" t="s">
        <v>1511</v>
      </c>
      <c r="R24" s="7" t="s">
        <v>1511</v>
      </c>
      <c r="S24" s="7" t="s">
        <v>1511</v>
      </c>
      <c r="T24" s="7" t="s">
        <v>1511</v>
      </c>
      <c r="U24" s="90"/>
      <c r="V24" s="90"/>
      <c r="W24" s="90" t="s">
        <v>1736</v>
      </c>
      <c r="X24" s="90" t="s">
        <v>1608</v>
      </c>
      <c r="Y24" s="90" t="s">
        <v>1608</v>
      </c>
      <c r="Z24" s="90" t="s">
        <v>1514</v>
      </c>
      <c r="AA24" s="90" t="s">
        <v>1977</v>
      </c>
      <c r="AB24" s="90" t="s">
        <v>1977</v>
      </c>
      <c r="AC24" s="90" t="s">
        <v>1977</v>
      </c>
      <c r="AD24" s="242">
        <v>6</v>
      </c>
      <c r="AE24" s="242">
        <v>1</v>
      </c>
      <c r="AF24" s="90" t="s">
        <v>1977</v>
      </c>
      <c r="AG24" s="90" t="s">
        <v>1977</v>
      </c>
      <c r="AH24" s="90" t="s">
        <v>1977</v>
      </c>
      <c r="AI24" s="90" t="s">
        <v>1977</v>
      </c>
      <c r="AJ24" s="90" t="s">
        <v>1977</v>
      </c>
      <c r="AK24" s="242" t="s">
        <v>1736</v>
      </c>
      <c r="AL24" s="90" t="s">
        <v>1977</v>
      </c>
      <c r="AM24" s="90" t="s">
        <v>1977</v>
      </c>
      <c r="AN24" s="90" t="s">
        <v>1977</v>
      </c>
      <c r="AO24" s="90" t="s">
        <v>1977</v>
      </c>
      <c r="AP24" s="90" t="s">
        <v>1977</v>
      </c>
      <c r="AQ24" s="90" t="s">
        <v>1977</v>
      </c>
      <c r="AR24" s="90" t="s">
        <v>1977</v>
      </c>
      <c r="AS24" s="90" t="s">
        <v>1977</v>
      </c>
      <c r="AT24" s="90" t="s">
        <v>1977</v>
      </c>
      <c r="AU24" s="90" t="s">
        <v>1977</v>
      </c>
      <c r="AV24" s="90" t="s">
        <v>1977</v>
      </c>
      <c r="AW24" s="90" t="s">
        <v>1977</v>
      </c>
      <c r="AX24" s="242">
        <v>1</v>
      </c>
      <c r="AY24" s="90">
        <f>IF(U24&gt;0,"Yes",0)</f>
        <v>0</v>
      </c>
      <c r="BA24"/>
    </row>
    <row r="25" spans="1:68">
      <c r="A25" t="s">
        <v>1114</v>
      </c>
      <c r="B25" s="90">
        <v>1</v>
      </c>
      <c r="C25" t="s">
        <v>1022</v>
      </c>
      <c r="D25" t="s">
        <v>1109</v>
      </c>
      <c r="E25" s="90">
        <f>P25</f>
        <v>3</v>
      </c>
      <c r="F25" s="90">
        <v>0</v>
      </c>
      <c r="G25" s="90">
        <v>-10</v>
      </c>
      <c r="H25" s="90">
        <v>0</v>
      </c>
      <c r="I25" s="90">
        <v>0</v>
      </c>
      <c r="J25" s="90">
        <v>0</v>
      </c>
      <c r="K25" s="90">
        <v>0</v>
      </c>
      <c r="L25" s="90">
        <v>0</v>
      </c>
      <c r="M25" s="90">
        <v>15</v>
      </c>
      <c r="N25" s="90">
        <v>0</v>
      </c>
      <c r="O25" s="90">
        <v>3</v>
      </c>
      <c r="P25" s="90">
        <v>3</v>
      </c>
      <c r="Q25" s="7" t="s">
        <v>1511</v>
      </c>
      <c r="R25" s="7" t="s">
        <v>1511</v>
      </c>
      <c r="S25" s="7" t="s">
        <v>1511</v>
      </c>
      <c r="T25" s="7" t="s">
        <v>1511</v>
      </c>
      <c r="U25" s="90"/>
      <c r="V25" s="90"/>
      <c r="W25" s="90" t="s">
        <v>1736</v>
      </c>
      <c r="X25" s="90" t="s">
        <v>1514</v>
      </c>
      <c r="Y25" s="90" t="s">
        <v>1977</v>
      </c>
      <c r="Z25" s="90" t="s">
        <v>1977</v>
      </c>
      <c r="AA25" s="90" t="s">
        <v>1977</v>
      </c>
      <c r="AB25" s="90" t="s">
        <v>1977</v>
      </c>
      <c r="AC25" s="90" t="s">
        <v>1977</v>
      </c>
      <c r="AD25" s="242">
        <v>4</v>
      </c>
      <c r="AE25" s="242">
        <v>0</v>
      </c>
      <c r="AF25" s="90" t="s">
        <v>1977</v>
      </c>
      <c r="AG25" s="90" t="s">
        <v>1977</v>
      </c>
      <c r="AH25" s="90" t="s">
        <v>1977</v>
      </c>
      <c r="AI25" s="90" t="s">
        <v>1977</v>
      </c>
      <c r="AJ25" s="90" t="s">
        <v>1977</v>
      </c>
      <c r="AK25" s="242" t="s">
        <v>1736</v>
      </c>
      <c r="AL25" s="90" t="s">
        <v>1977</v>
      </c>
      <c r="AM25" s="90" t="s">
        <v>1977</v>
      </c>
      <c r="AN25" s="90" t="s">
        <v>1977</v>
      </c>
      <c r="AO25" s="90" t="s">
        <v>1977</v>
      </c>
      <c r="AP25" s="90" t="s">
        <v>1977</v>
      </c>
      <c r="AQ25" s="90" t="s">
        <v>1977</v>
      </c>
      <c r="AR25" s="90" t="s">
        <v>1977</v>
      </c>
      <c r="AS25" s="90" t="s">
        <v>1977</v>
      </c>
      <c r="AT25" s="90" t="s">
        <v>1977</v>
      </c>
      <c r="AU25" s="90" t="s">
        <v>1977</v>
      </c>
      <c r="AV25" s="90" t="s">
        <v>1977</v>
      </c>
      <c r="AW25" s="90" t="s">
        <v>1977</v>
      </c>
      <c r="AX25" s="242">
        <v>-10</v>
      </c>
      <c r="AY25" s="90">
        <f>IF(U25&gt;0,"Yes",0)</f>
        <v>0</v>
      </c>
      <c r="BA25"/>
    </row>
    <row r="26" spans="1:68">
      <c r="A26" t="s">
        <v>109</v>
      </c>
      <c r="B26" s="90" t="s">
        <v>1000</v>
      </c>
      <c r="C26" t="s">
        <v>1022</v>
      </c>
      <c r="D26" t="s">
        <v>1098</v>
      </c>
      <c r="E26" s="90">
        <v>0</v>
      </c>
      <c r="F26" s="90">
        <v>0</v>
      </c>
      <c r="G26" s="90">
        <v>0</v>
      </c>
      <c r="H26" s="90">
        <v>0</v>
      </c>
      <c r="I26" s="90">
        <v>0</v>
      </c>
      <c r="J26" s="90">
        <v>0</v>
      </c>
      <c r="K26" s="90">
        <v>0</v>
      </c>
      <c r="L26" s="90">
        <v>0</v>
      </c>
      <c r="M26" s="90">
        <v>15</v>
      </c>
      <c r="N26" s="90">
        <v>0</v>
      </c>
      <c r="O26" s="90">
        <v>9</v>
      </c>
      <c r="P26" s="90">
        <v>0</v>
      </c>
      <c r="Q26" s="90" t="s">
        <v>322</v>
      </c>
      <c r="R26" s="90" t="s">
        <v>322</v>
      </c>
      <c r="S26" s="90" t="s">
        <v>322</v>
      </c>
      <c r="T26" s="90" t="s">
        <v>322</v>
      </c>
      <c r="U26" s="90" t="s">
        <v>322</v>
      </c>
      <c r="V26" s="90" t="s">
        <v>322</v>
      </c>
      <c r="W26" s="168" t="s">
        <v>104</v>
      </c>
      <c r="X26" s="90" t="s">
        <v>1514</v>
      </c>
      <c r="Y26" s="90" t="s">
        <v>1977</v>
      </c>
      <c r="Z26" s="90" t="s">
        <v>1977</v>
      </c>
      <c r="AA26" s="90" t="s">
        <v>1977</v>
      </c>
      <c r="AB26" s="90" t="s">
        <v>1977</v>
      </c>
      <c r="AC26" s="90" t="s">
        <v>1977</v>
      </c>
      <c r="AD26" s="242">
        <v>10</v>
      </c>
      <c r="AE26" s="242">
        <v>10</v>
      </c>
      <c r="AF26" s="90" t="s">
        <v>1977</v>
      </c>
      <c r="AG26" s="90" t="s">
        <v>1977</v>
      </c>
      <c r="AH26" s="90" t="s">
        <v>1977</v>
      </c>
      <c r="AI26" s="90" t="s">
        <v>1977</v>
      </c>
      <c r="AJ26" s="90" t="s">
        <v>1977</v>
      </c>
      <c r="AK26" s="90" t="s">
        <v>1977</v>
      </c>
      <c r="AL26" s="90" t="s">
        <v>1977</v>
      </c>
      <c r="AM26" s="90" t="s">
        <v>1977</v>
      </c>
      <c r="AN26" s="90" t="s">
        <v>1977</v>
      </c>
      <c r="AO26" s="90" t="s">
        <v>1977</v>
      </c>
      <c r="AP26" s="90" t="s">
        <v>1977</v>
      </c>
      <c r="AQ26" s="90" t="s">
        <v>1977</v>
      </c>
      <c r="AR26" s="90" t="s">
        <v>1977</v>
      </c>
      <c r="AS26" s="90" t="s">
        <v>1977</v>
      </c>
      <c r="AT26" s="90" t="s">
        <v>1977</v>
      </c>
      <c r="AU26" s="90" t="s">
        <v>1977</v>
      </c>
      <c r="AV26" s="90" t="s">
        <v>1977</v>
      </c>
      <c r="AW26" s="90" t="s">
        <v>1977</v>
      </c>
      <c r="AX26" s="90">
        <v>80</v>
      </c>
      <c r="AY26" s="90">
        <v>0</v>
      </c>
      <c r="AZ26" t="s">
        <v>324</v>
      </c>
      <c r="BA26" t="s">
        <v>105</v>
      </c>
      <c r="BB26" t="s">
        <v>109</v>
      </c>
      <c r="BC26" t="s">
        <v>1022</v>
      </c>
      <c r="BD26" t="s">
        <v>1000</v>
      </c>
      <c r="BE26" t="s">
        <v>1098</v>
      </c>
      <c r="BF26">
        <v>9</v>
      </c>
      <c r="BG26" t="s">
        <v>330</v>
      </c>
      <c r="BH26">
        <v>80</v>
      </c>
      <c r="BI26">
        <v>80</v>
      </c>
      <c r="BJ26" t="s">
        <v>322</v>
      </c>
      <c r="BK26">
        <v>0</v>
      </c>
      <c r="BL26">
        <v>4</v>
      </c>
      <c r="BM26">
        <v>9</v>
      </c>
      <c r="BN26">
        <v>4</v>
      </c>
      <c r="BO26">
        <v>0</v>
      </c>
    </row>
    <row r="27" spans="1:68">
      <c r="A27" t="s">
        <v>11</v>
      </c>
      <c r="B27" s="90" t="s">
        <v>117</v>
      </c>
      <c r="C27" t="s">
        <v>1022</v>
      </c>
      <c r="D27" t="s">
        <v>1619</v>
      </c>
      <c r="E27" s="90">
        <v>0</v>
      </c>
      <c r="F27" s="90">
        <v>0</v>
      </c>
      <c r="G27" s="90">
        <v>0</v>
      </c>
      <c r="H27" s="90">
        <v>0</v>
      </c>
      <c r="I27" s="90">
        <v>0</v>
      </c>
      <c r="J27" s="90">
        <v>0</v>
      </c>
      <c r="K27" s="90">
        <v>0</v>
      </c>
      <c r="L27" s="90">
        <v>0</v>
      </c>
      <c r="M27" s="90">
        <v>15</v>
      </c>
      <c r="N27" s="90">
        <v>0</v>
      </c>
      <c r="O27" s="90">
        <v>6</v>
      </c>
      <c r="P27" s="90">
        <v>-3</v>
      </c>
      <c r="Q27" s="90" t="s">
        <v>322</v>
      </c>
      <c r="R27" s="90" t="s">
        <v>322</v>
      </c>
      <c r="S27" s="90" t="s">
        <v>322</v>
      </c>
      <c r="T27" s="90" t="s">
        <v>322</v>
      </c>
      <c r="U27" s="90" t="s">
        <v>322</v>
      </c>
      <c r="V27" s="90" t="s">
        <v>322</v>
      </c>
      <c r="W27" s="168" t="s">
        <v>4</v>
      </c>
      <c r="X27" s="90" t="s">
        <v>1514</v>
      </c>
      <c r="Y27" s="90" t="s">
        <v>1977</v>
      </c>
      <c r="Z27" s="90" t="s">
        <v>1977</v>
      </c>
      <c r="AA27" s="90" t="s">
        <v>1977</v>
      </c>
      <c r="AB27" s="90" t="s">
        <v>1977</v>
      </c>
      <c r="AC27" s="90" t="s">
        <v>1977</v>
      </c>
      <c r="AD27" s="242">
        <v>5</v>
      </c>
      <c r="AE27" s="242">
        <v>5</v>
      </c>
      <c r="AF27" s="90" t="s">
        <v>1977</v>
      </c>
      <c r="AG27" s="90" t="s">
        <v>1977</v>
      </c>
      <c r="AH27" s="90" t="s">
        <v>1977</v>
      </c>
      <c r="AI27" s="90" t="s">
        <v>1977</v>
      </c>
      <c r="AJ27" s="90" t="s">
        <v>1977</v>
      </c>
      <c r="AK27" s="90" t="s">
        <v>1977</v>
      </c>
      <c r="AL27" s="90" t="s">
        <v>1977</v>
      </c>
      <c r="AM27" s="90" t="s">
        <v>1977</v>
      </c>
      <c r="AN27" s="90" t="s">
        <v>1977</v>
      </c>
      <c r="AO27" s="90" t="s">
        <v>1977</v>
      </c>
      <c r="AP27" s="90" t="s">
        <v>1977</v>
      </c>
      <c r="AQ27" s="90" t="s">
        <v>1977</v>
      </c>
      <c r="AR27" s="90" t="s">
        <v>1977</v>
      </c>
      <c r="AS27" s="90" t="s">
        <v>1977</v>
      </c>
      <c r="AT27" s="90" t="s">
        <v>1977</v>
      </c>
      <c r="AU27" s="90" t="s">
        <v>1977</v>
      </c>
      <c r="AV27" s="90" t="s">
        <v>1977</v>
      </c>
      <c r="AW27" s="90" t="s">
        <v>1977</v>
      </c>
      <c r="AX27" s="90">
        <v>180</v>
      </c>
      <c r="AY27" s="90" t="s">
        <v>1876</v>
      </c>
      <c r="AZ27" t="s">
        <v>324</v>
      </c>
      <c r="BA27" t="s">
        <v>5</v>
      </c>
      <c r="BB27" t="s">
        <v>11</v>
      </c>
      <c r="BC27" t="s">
        <v>1022</v>
      </c>
      <c r="BD27" t="s">
        <v>117</v>
      </c>
      <c r="BE27" t="s">
        <v>1619</v>
      </c>
      <c r="BF27">
        <v>6</v>
      </c>
      <c r="BG27" t="s">
        <v>326</v>
      </c>
      <c r="BH27">
        <v>20</v>
      </c>
      <c r="BI27">
        <v>180</v>
      </c>
      <c r="BJ27" t="s">
        <v>322</v>
      </c>
      <c r="BK27">
        <v>-4</v>
      </c>
      <c r="BL27">
        <v>1</v>
      </c>
      <c r="BM27">
        <v>3</v>
      </c>
      <c r="BN27">
        <v>1</v>
      </c>
      <c r="BO27">
        <v>0</v>
      </c>
      <c r="BP27" t="s">
        <v>1876</v>
      </c>
    </row>
    <row r="28" spans="1:68">
      <c r="A28" t="s">
        <v>246</v>
      </c>
      <c r="B28" s="90" t="s">
        <v>1344</v>
      </c>
      <c r="C28" t="s">
        <v>1317</v>
      </c>
      <c r="D28" t="s">
        <v>1619</v>
      </c>
      <c r="E28" s="90">
        <v>0</v>
      </c>
      <c r="F28" s="90">
        <v>0</v>
      </c>
      <c r="G28" s="90">
        <v>0</v>
      </c>
      <c r="H28" s="90">
        <v>0</v>
      </c>
      <c r="I28" s="90">
        <v>0</v>
      </c>
      <c r="J28" s="90">
        <v>0</v>
      </c>
      <c r="K28" s="90">
        <v>0</v>
      </c>
      <c r="L28" s="90">
        <v>0</v>
      </c>
      <c r="M28" s="90">
        <v>15</v>
      </c>
      <c r="N28" s="90">
        <v>0</v>
      </c>
      <c r="O28" s="90">
        <v>1</v>
      </c>
      <c r="P28" s="90">
        <v>-3</v>
      </c>
      <c r="Q28" s="90" t="s">
        <v>1943</v>
      </c>
      <c r="R28" s="90" t="s">
        <v>1943</v>
      </c>
      <c r="S28" s="90" t="s">
        <v>1943</v>
      </c>
      <c r="T28" s="90" t="s">
        <v>1943</v>
      </c>
      <c r="U28" s="90" t="s">
        <v>1943</v>
      </c>
      <c r="V28" s="90" t="s">
        <v>1943</v>
      </c>
      <c r="W28" s="168" t="s">
        <v>247</v>
      </c>
      <c r="X28" s="90" t="s">
        <v>2280</v>
      </c>
      <c r="Y28" s="90" t="s">
        <v>1977</v>
      </c>
      <c r="Z28" s="90" t="s">
        <v>1977</v>
      </c>
      <c r="AA28" s="90" t="s">
        <v>1977</v>
      </c>
      <c r="AB28" s="90" t="s">
        <v>1977</v>
      </c>
      <c r="AC28" s="90" t="s">
        <v>1977</v>
      </c>
      <c r="AD28" s="242">
        <v>10</v>
      </c>
      <c r="AE28" s="242">
        <v>10</v>
      </c>
      <c r="AF28" s="90" t="s">
        <v>1977</v>
      </c>
      <c r="AG28" s="90" t="s">
        <v>1977</v>
      </c>
      <c r="AH28" s="90" t="s">
        <v>1977</v>
      </c>
      <c r="AI28" s="90" t="s">
        <v>1977</v>
      </c>
      <c r="AJ28" s="90" t="s">
        <v>1977</v>
      </c>
      <c r="AK28" s="90" t="s">
        <v>1977</v>
      </c>
      <c r="AL28" s="90" t="s">
        <v>1977</v>
      </c>
      <c r="AM28" s="90" t="s">
        <v>1977</v>
      </c>
      <c r="AN28" s="90" t="s">
        <v>1977</v>
      </c>
      <c r="AO28" s="90" t="s">
        <v>1977</v>
      </c>
      <c r="AP28" s="90" t="s">
        <v>1977</v>
      </c>
      <c r="AQ28" s="90" t="s">
        <v>1977</v>
      </c>
      <c r="AR28" s="90" t="s">
        <v>1977</v>
      </c>
      <c r="AS28" s="90" t="s">
        <v>1977</v>
      </c>
      <c r="AT28" s="90" t="s">
        <v>1977</v>
      </c>
      <c r="AU28" s="90" t="s">
        <v>1977</v>
      </c>
      <c r="AV28" s="90" t="s">
        <v>1977</v>
      </c>
      <c r="AW28" s="90" t="s">
        <v>1977</v>
      </c>
      <c r="AX28" s="90">
        <v>30</v>
      </c>
      <c r="AY28" s="90">
        <v>0</v>
      </c>
      <c r="AZ28" t="s">
        <v>324</v>
      </c>
      <c r="BA28" t="s">
        <v>248</v>
      </c>
      <c r="BB28" t="s">
        <v>246</v>
      </c>
      <c r="BC28" t="s">
        <v>1317</v>
      </c>
      <c r="BD28" t="s">
        <v>1344</v>
      </c>
      <c r="BE28" t="s">
        <v>1619</v>
      </c>
      <c r="BF28">
        <v>1</v>
      </c>
      <c r="BG28" t="s">
        <v>330</v>
      </c>
      <c r="BH28">
        <v>20</v>
      </c>
      <c r="BI28">
        <v>30</v>
      </c>
      <c r="BJ28" t="s">
        <v>1943</v>
      </c>
      <c r="BK28">
        <v>-2</v>
      </c>
      <c r="BL28">
        <v>3</v>
      </c>
      <c r="BM28">
        <v>3</v>
      </c>
      <c r="BN28">
        <v>2</v>
      </c>
      <c r="BO28">
        <v>-3</v>
      </c>
    </row>
    <row r="29" spans="1:68">
      <c r="A29" t="s">
        <v>76</v>
      </c>
      <c r="B29" s="90" t="s">
        <v>77</v>
      </c>
      <c r="C29" t="s">
        <v>1317</v>
      </c>
      <c r="D29" t="s">
        <v>1619</v>
      </c>
      <c r="E29" s="90">
        <v>0</v>
      </c>
      <c r="F29" s="90">
        <v>0</v>
      </c>
      <c r="G29" s="90">
        <v>0</v>
      </c>
      <c r="H29" s="90">
        <v>0</v>
      </c>
      <c r="I29" s="90">
        <v>0</v>
      </c>
      <c r="J29" s="90">
        <v>0</v>
      </c>
      <c r="K29" s="90">
        <v>0</v>
      </c>
      <c r="L29" s="90">
        <v>0</v>
      </c>
      <c r="M29" s="90">
        <v>15</v>
      </c>
      <c r="N29" s="90">
        <v>0</v>
      </c>
      <c r="O29" s="90">
        <v>2</v>
      </c>
      <c r="P29" s="90">
        <v>-8</v>
      </c>
      <c r="Q29" s="90" t="s">
        <v>322</v>
      </c>
      <c r="R29" s="90" t="s">
        <v>322</v>
      </c>
      <c r="S29" s="90" t="s">
        <v>322</v>
      </c>
      <c r="T29" s="90" t="s">
        <v>322</v>
      </c>
      <c r="U29" s="90" t="s">
        <v>322</v>
      </c>
      <c r="V29" s="90" t="s">
        <v>322</v>
      </c>
      <c r="W29" s="168" t="s">
        <v>64</v>
      </c>
      <c r="X29" s="90" t="s">
        <v>1514</v>
      </c>
      <c r="Y29" s="90" t="s">
        <v>1977</v>
      </c>
      <c r="Z29" s="90" t="s">
        <v>1977</v>
      </c>
      <c r="AA29" s="90" t="s">
        <v>1977</v>
      </c>
      <c r="AB29" s="90" t="s">
        <v>1977</v>
      </c>
      <c r="AC29" s="90" t="s">
        <v>1977</v>
      </c>
      <c r="AD29" s="242">
        <v>5</v>
      </c>
      <c r="AE29" s="242">
        <v>5</v>
      </c>
      <c r="AF29" s="90" t="s">
        <v>1977</v>
      </c>
      <c r="AG29" s="90" t="s">
        <v>1977</v>
      </c>
      <c r="AH29" s="90" t="s">
        <v>1977</v>
      </c>
      <c r="AI29" s="90" t="s">
        <v>1977</v>
      </c>
      <c r="AJ29" s="90" t="s">
        <v>1977</v>
      </c>
      <c r="AK29" s="90" t="s">
        <v>1977</v>
      </c>
      <c r="AL29" s="90" t="s">
        <v>1977</v>
      </c>
      <c r="AM29" s="90" t="s">
        <v>1977</v>
      </c>
      <c r="AN29" s="90" t="s">
        <v>1977</v>
      </c>
      <c r="AO29" s="90" t="s">
        <v>1977</v>
      </c>
      <c r="AP29" s="90" t="s">
        <v>1977</v>
      </c>
      <c r="AQ29" s="90" t="s">
        <v>1977</v>
      </c>
      <c r="AR29" s="90" t="s">
        <v>1977</v>
      </c>
      <c r="AS29" s="90" t="s">
        <v>1977</v>
      </c>
      <c r="AT29" s="90" t="s">
        <v>1977</v>
      </c>
      <c r="AU29" s="90" t="s">
        <v>1977</v>
      </c>
      <c r="AV29" s="90" t="s">
        <v>1977</v>
      </c>
      <c r="AW29" s="90" t="s">
        <v>1977</v>
      </c>
      <c r="AX29" s="90">
        <v>120</v>
      </c>
      <c r="AY29" s="90">
        <v>0</v>
      </c>
      <c r="AZ29" t="s">
        <v>91</v>
      </c>
      <c r="BA29" t="s">
        <v>65</v>
      </c>
      <c r="BB29" t="s">
        <v>76</v>
      </c>
      <c r="BC29" t="s">
        <v>1317</v>
      </c>
      <c r="BD29" t="s">
        <v>77</v>
      </c>
      <c r="BE29" t="s">
        <v>1619</v>
      </c>
      <c r="BF29">
        <v>2</v>
      </c>
      <c r="BG29" t="s">
        <v>326</v>
      </c>
      <c r="BH29">
        <v>5</v>
      </c>
      <c r="BI29">
        <v>120</v>
      </c>
      <c r="BJ29" t="s">
        <v>322</v>
      </c>
      <c r="BK29">
        <v>-5</v>
      </c>
      <c r="BL29">
        <v>1</v>
      </c>
      <c r="BM29">
        <v>2</v>
      </c>
      <c r="BN29">
        <v>1</v>
      </c>
      <c r="BO29">
        <v>0</v>
      </c>
    </row>
    <row r="30" spans="1:68">
      <c r="A30" t="s">
        <v>1021</v>
      </c>
      <c r="B30" s="90">
        <v>1</v>
      </c>
      <c r="C30" t="s">
        <v>1022</v>
      </c>
      <c r="D30" t="s">
        <v>1109</v>
      </c>
      <c r="E30" s="90">
        <f>P30</f>
        <v>6</v>
      </c>
      <c r="F30" s="90">
        <v>0</v>
      </c>
      <c r="G30" s="90">
        <v>0</v>
      </c>
      <c r="H30" s="90">
        <v>0</v>
      </c>
      <c r="I30" s="90">
        <v>0</v>
      </c>
      <c r="J30" s="90">
        <v>0</v>
      </c>
      <c r="K30" s="90">
        <v>10</v>
      </c>
      <c r="L30" s="90">
        <v>0</v>
      </c>
      <c r="M30" s="90">
        <f>IF(C30="Carnivore",15,10)</f>
        <v>15</v>
      </c>
      <c r="N30" s="90">
        <v>0</v>
      </c>
      <c r="O30" s="90">
        <v>6</v>
      </c>
      <c r="P30" s="90">
        <v>6</v>
      </c>
      <c r="Q30" s="90" t="s">
        <v>1811</v>
      </c>
      <c r="R30" s="90" t="s">
        <v>1714</v>
      </c>
      <c r="S30" s="90" t="s">
        <v>1811</v>
      </c>
      <c r="T30" s="90" t="s">
        <v>1811</v>
      </c>
      <c r="U30" s="90"/>
      <c r="V30" s="90"/>
      <c r="W30" s="168" t="s">
        <v>1951</v>
      </c>
      <c r="X30" s="90" t="s">
        <v>2358</v>
      </c>
      <c r="Y30" s="90" t="s">
        <v>2358</v>
      </c>
      <c r="Z30" s="90" t="s">
        <v>2358</v>
      </c>
      <c r="AA30" s="90" t="s">
        <v>2358</v>
      </c>
      <c r="AB30" s="90" t="s">
        <v>1514</v>
      </c>
      <c r="AC30" s="90" t="s">
        <v>1977</v>
      </c>
      <c r="AD30" s="242">
        <v>8</v>
      </c>
      <c r="AE30" s="242">
        <v>3</v>
      </c>
      <c r="AF30" s="90" t="s">
        <v>1977</v>
      </c>
      <c r="AG30" s="90" t="s">
        <v>1977</v>
      </c>
      <c r="AH30" s="242" t="s">
        <v>2069</v>
      </c>
      <c r="AI30" s="242" t="s">
        <v>2070</v>
      </c>
      <c r="AJ30" s="242" t="s">
        <v>1941</v>
      </c>
      <c r="AK30" s="242" t="s">
        <v>1945</v>
      </c>
      <c r="AL30" s="242" t="s">
        <v>1946</v>
      </c>
      <c r="AM30" s="242" t="s">
        <v>2119</v>
      </c>
      <c r="AN30" s="242" t="s">
        <v>1846</v>
      </c>
      <c r="AO30" s="90" t="s">
        <v>1977</v>
      </c>
      <c r="AP30" s="90" t="s">
        <v>1977</v>
      </c>
      <c r="AQ30" s="90" t="s">
        <v>1977</v>
      </c>
      <c r="AR30" s="90" t="s">
        <v>1977</v>
      </c>
      <c r="AS30" s="90" t="s">
        <v>1977</v>
      </c>
      <c r="AT30" s="90" t="s">
        <v>1977</v>
      </c>
      <c r="AU30" s="90" t="s">
        <v>1977</v>
      </c>
      <c r="AV30" s="90" t="s">
        <v>1977</v>
      </c>
      <c r="AW30" s="90" t="s">
        <v>1977</v>
      </c>
      <c r="AX30" s="90">
        <v>-4</v>
      </c>
      <c r="AY30" s="90">
        <f>IF(U30&gt;0,"Yes",0)</f>
        <v>0</v>
      </c>
      <c r="BA30"/>
    </row>
    <row r="31" spans="1:68">
      <c r="A31" t="s">
        <v>93</v>
      </c>
      <c r="B31" s="90" t="s">
        <v>1000</v>
      </c>
      <c r="C31" t="s">
        <v>1022</v>
      </c>
      <c r="D31" t="s">
        <v>1619</v>
      </c>
      <c r="E31" s="90">
        <v>0</v>
      </c>
      <c r="F31" s="90">
        <v>0</v>
      </c>
      <c r="G31" s="90">
        <v>0</v>
      </c>
      <c r="H31" s="90">
        <v>0</v>
      </c>
      <c r="I31" s="90">
        <v>0</v>
      </c>
      <c r="J31" s="90">
        <v>0</v>
      </c>
      <c r="K31" s="90">
        <v>0</v>
      </c>
      <c r="L31" s="90">
        <v>0</v>
      </c>
      <c r="M31" s="90">
        <v>15</v>
      </c>
      <c r="N31" s="90">
        <v>0</v>
      </c>
      <c r="O31" s="90">
        <v>4</v>
      </c>
      <c r="P31" s="90">
        <v>-3</v>
      </c>
      <c r="Q31" s="90" t="s">
        <v>322</v>
      </c>
      <c r="R31" s="90" t="s">
        <v>322</v>
      </c>
      <c r="S31" s="90" t="s">
        <v>322</v>
      </c>
      <c r="T31" s="90" t="s">
        <v>322</v>
      </c>
      <c r="U31" s="90" t="s">
        <v>322</v>
      </c>
      <c r="V31" s="90" t="s">
        <v>322</v>
      </c>
      <c r="W31" s="168" t="s">
        <v>83</v>
      </c>
      <c r="X31" s="90" t="s">
        <v>2136</v>
      </c>
      <c r="Y31" s="90" t="s">
        <v>2278</v>
      </c>
      <c r="Z31" s="90" t="s">
        <v>2278</v>
      </c>
      <c r="AA31" s="90" t="s">
        <v>1977</v>
      </c>
      <c r="AB31" s="90" t="s">
        <v>1977</v>
      </c>
      <c r="AC31" s="90" t="s">
        <v>1977</v>
      </c>
      <c r="AD31" s="242">
        <v>5</v>
      </c>
      <c r="AE31" s="242">
        <v>5</v>
      </c>
      <c r="AF31" s="90" t="s">
        <v>1977</v>
      </c>
      <c r="AG31" s="90" t="s">
        <v>1977</v>
      </c>
      <c r="AH31" s="90" t="s">
        <v>1977</v>
      </c>
      <c r="AI31" s="90" t="s">
        <v>1977</v>
      </c>
      <c r="AJ31" s="90" t="s">
        <v>1977</v>
      </c>
      <c r="AK31" s="90" t="s">
        <v>1977</v>
      </c>
      <c r="AL31" s="90" t="s">
        <v>1977</v>
      </c>
      <c r="AM31" s="90" t="s">
        <v>1977</v>
      </c>
      <c r="AN31" s="90" t="s">
        <v>1977</v>
      </c>
      <c r="AO31" s="90" t="s">
        <v>1977</v>
      </c>
      <c r="AP31" s="90" t="s">
        <v>1977</v>
      </c>
      <c r="AQ31" s="90" t="s">
        <v>1977</v>
      </c>
      <c r="AR31" s="90" t="s">
        <v>1977</v>
      </c>
      <c r="AS31" s="90" t="s">
        <v>1977</v>
      </c>
      <c r="AT31" s="90" t="s">
        <v>1977</v>
      </c>
      <c r="AU31" s="90" t="s">
        <v>1977</v>
      </c>
      <c r="AV31" s="90" t="s">
        <v>1977</v>
      </c>
      <c r="AW31" s="90" t="s">
        <v>1977</v>
      </c>
      <c r="AX31" s="90">
        <v>110</v>
      </c>
      <c r="AY31" s="90">
        <v>0</v>
      </c>
      <c r="AZ31" t="s">
        <v>91</v>
      </c>
      <c r="BA31" t="s">
        <v>92</v>
      </c>
      <c r="BB31" t="s">
        <v>93</v>
      </c>
      <c r="BC31" t="s">
        <v>1022</v>
      </c>
      <c r="BD31" t="s">
        <v>1000</v>
      </c>
      <c r="BE31" t="s">
        <v>1619</v>
      </c>
      <c r="BF31">
        <v>4</v>
      </c>
      <c r="BG31" t="s">
        <v>326</v>
      </c>
      <c r="BH31">
        <v>45</v>
      </c>
      <c r="BI31">
        <v>110</v>
      </c>
      <c r="BJ31" t="s">
        <v>322</v>
      </c>
      <c r="BK31">
        <v>0</v>
      </c>
      <c r="BL31">
        <v>2</v>
      </c>
      <c r="BM31">
        <v>5</v>
      </c>
      <c r="BN31">
        <v>4</v>
      </c>
      <c r="BO31">
        <v>0</v>
      </c>
    </row>
    <row r="32" spans="1:68">
      <c r="A32" t="s">
        <v>1206</v>
      </c>
      <c r="B32" s="90" t="s">
        <v>2343</v>
      </c>
      <c r="C32" t="s">
        <v>1022</v>
      </c>
      <c r="D32" t="s">
        <v>1098</v>
      </c>
      <c r="E32" s="90">
        <f>P32</f>
        <v>0</v>
      </c>
      <c r="F32" s="90">
        <v>0</v>
      </c>
      <c r="G32" s="90">
        <v>2</v>
      </c>
      <c r="H32" s="90">
        <v>-1</v>
      </c>
      <c r="I32" s="90">
        <v>0</v>
      </c>
      <c r="J32" s="90">
        <v>0</v>
      </c>
      <c r="K32" s="90">
        <v>0</v>
      </c>
      <c r="L32" s="90">
        <v>0</v>
      </c>
      <c r="M32" s="90">
        <f>IF(C32="Carnivore",15,10)</f>
        <v>15</v>
      </c>
      <c r="N32" s="90">
        <v>2</v>
      </c>
      <c r="O32" s="90">
        <v>0</v>
      </c>
      <c r="P32" s="90">
        <v>0</v>
      </c>
      <c r="Q32" s="90" t="s">
        <v>1943</v>
      </c>
      <c r="R32" s="90" t="s">
        <v>1943</v>
      </c>
      <c r="S32" s="90" t="s">
        <v>1943</v>
      </c>
      <c r="T32" s="90" t="s">
        <v>1943</v>
      </c>
      <c r="U32" s="90"/>
      <c r="V32" s="90"/>
      <c r="W32" s="168" t="s">
        <v>1812</v>
      </c>
      <c r="X32" s="90" t="s">
        <v>2278</v>
      </c>
      <c r="Y32" s="90" t="s">
        <v>2278</v>
      </c>
      <c r="Z32" s="90" t="s">
        <v>1514</v>
      </c>
      <c r="AA32" s="90" t="s">
        <v>1977</v>
      </c>
      <c r="AB32" s="90" t="s">
        <v>1977</v>
      </c>
      <c r="AC32" s="90" t="s">
        <v>1977</v>
      </c>
      <c r="AD32" s="242">
        <v>7</v>
      </c>
      <c r="AE32" s="242">
        <v>7</v>
      </c>
      <c r="AF32" s="90" t="s">
        <v>1977</v>
      </c>
      <c r="AG32" s="90" t="s">
        <v>1977</v>
      </c>
      <c r="AH32" s="90" t="s">
        <v>1977</v>
      </c>
      <c r="AI32" s="90" t="s">
        <v>1977</v>
      </c>
      <c r="AJ32" s="90" t="s">
        <v>1977</v>
      </c>
      <c r="AK32" s="90" t="s">
        <v>1977</v>
      </c>
      <c r="AL32" s="90" t="s">
        <v>1977</v>
      </c>
      <c r="AM32" s="90" t="s">
        <v>1977</v>
      </c>
      <c r="AN32" s="90" t="s">
        <v>1977</v>
      </c>
      <c r="AO32" s="90" t="s">
        <v>1977</v>
      </c>
      <c r="AP32" s="90" t="s">
        <v>1977</v>
      </c>
      <c r="AQ32" s="90" t="s">
        <v>1977</v>
      </c>
      <c r="AR32" s="90" t="s">
        <v>1977</v>
      </c>
      <c r="AS32" s="90" t="s">
        <v>1977</v>
      </c>
      <c r="AT32" s="90" t="s">
        <v>1977</v>
      </c>
      <c r="AU32" s="90" t="s">
        <v>1977</v>
      </c>
      <c r="AV32" s="90" t="s">
        <v>1977</v>
      </c>
      <c r="AW32" s="90" t="s">
        <v>1977</v>
      </c>
      <c r="AX32" s="90">
        <v>5</v>
      </c>
      <c r="AY32" s="90">
        <f>IF(U32&gt;0,"Yes",0)</f>
        <v>0</v>
      </c>
      <c r="BA32"/>
    </row>
    <row r="33" spans="1:68">
      <c r="A33" t="s">
        <v>278</v>
      </c>
      <c r="B33" s="90">
        <v>1</v>
      </c>
      <c r="C33" t="s">
        <v>1022</v>
      </c>
      <c r="D33" t="s">
        <v>1098</v>
      </c>
      <c r="E33" s="90">
        <v>0</v>
      </c>
      <c r="F33" s="90">
        <v>0</v>
      </c>
      <c r="G33" s="90">
        <v>0</v>
      </c>
      <c r="H33" s="90">
        <v>0</v>
      </c>
      <c r="I33" s="90">
        <v>0</v>
      </c>
      <c r="J33" s="90">
        <v>0</v>
      </c>
      <c r="K33" s="90">
        <v>0</v>
      </c>
      <c r="L33" s="90">
        <v>0</v>
      </c>
      <c r="M33" s="90">
        <v>15</v>
      </c>
      <c r="N33" s="90">
        <v>0</v>
      </c>
      <c r="O33" s="90">
        <v>1</v>
      </c>
      <c r="P33" s="90">
        <v>1</v>
      </c>
      <c r="Q33" s="90" t="s">
        <v>1510</v>
      </c>
      <c r="R33" s="90" t="s">
        <v>1510</v>
      </c>
      <c r="S33" s="90" t="s">
        <v>1510</v>
      </c>
      <c r="T33" s="90" t="s">
        <v>1510</v>
      </c>
      <c r="U33" s="90" t="s">
        <v>1510</v>
      </c>
      <c r="V33" s="90" t="s">
        <v>1510</v>
      </c>
      <c r="W33" s="168" t="s">
        <v>343</v>
      </c>
      <c r="X33" s="90" t="s">
        <v>2139</v>
      </c>
      <c r="Y33" s="90" t="s">
        <v>1977</v>
      </c>
      <c r="Z33" s="90" t="s">
        <v>1977</v>
      </c>
      <c r="AA33" s="90" t="s">
        <v>1977</v>
      </c>
      <c r="AB33" s="90" t="s">
        <v>1977</v>
      </c>
      <c r="AC33" s="90" t="s">
        <v>1977</v>
      </c>
      <c r="AD33" s="242">
        <v>10</v>
      </c>
      <c r="AE33" s="242">
        <v>10</v>
      </c>
      <c r="AF33" s="90" t="s">
        <v>1977</v>
      </c>
      <c r="AG33" s="90" t="s">
        <v>1977</v>
      </c>
      <c r="AH33" s="242" t="s">
        <v>1736</v>
      </c>
      <c r="AI33" s="90" t="s">
        <v>1977</v>
      </c>
      <c r="AJ33" s="90" t="s">
        <v>1977</v>
      </c>
      <c r="AK33" s="90" t="s">
        <v>1977</v>
      </c>
      <c r="AL33" s="90" t="s">
        <v>1977</v>
      </c>
      <c r="AM33" s="90" t="s">
        <v>1977</v>
      </c>
      <c r="AN33" s="90" t="s">
        <v>1977</v>
      </c>
      <c r="AO33" s="90" t="s">
        <v>1977</v>
      </c>
      <c r="AP33" s="90" t="s">
        <v>1977</v>
      </c>
      <c r="AQ33" s="90" t="s">
        <v>1977</v>
      </c>
      <c r="AR33" s="90" t="s">
        <v>1977</v>
      </c>
      <c r="AS33" s="90" t="s">
        <v>1977</v>
      </c>
      <c r="AT33" s="90" t="s">
        <v>1977</v>
      </c>
      <c r="AU33" s="90" t="s">
        <v>1977</v>
      </c>
      <c r="AV33" s="90" t="s">
        <v>1977</v>
      </c>
      <c r="AW33" s="90" t="s">
        <v>1977</v>
      </c>
      <c r="AX33" s="90">
        <v>50</v>
      </c>
      <c r="AY33" s="90">
        <v>0</v>
      </c>
      <c r="AZ33" t="s">
        <v>344</v>
      </c>
      <c r="BA33" t="s">
        <v>2495</v>
      </c>
      <c r="BB33" t="s">
        <v>278</v>
      </c>
      <c r="BC33" t="s">
        <v>1022</v>
      </c>
      <c r="BD33">
        <v>1</v>
      </c>
      <c r="BE33" t="s">
        <v>1098</v>
      </c>
      <c r="BF33">
        <v>1</v>
      </c>
      <c r="BG33" t="s">
        <v>330</v>
      </c>
      <c r="BH33">
        <v>100</v>
      </c>
      <c r="BI33">
        <v>50</v>
      </c>
      <c r="BJ33" t="s">
        <v>1510</v>
      </c>
      <c r="BK33">
        <v>0</v>
      </c>
      <c r="BL33">
        <v>1</v>
      </c>
      <c r="BM33">
        <v>3</v>
      </c>
      <c r="BN33">
        <v>10</v>
      </c>
      <c r="BO33">
        <v>0</v>
      </c>
    </row>
    <row r="34" spans="1:68">
      <c r="A34" t="s">
        <v>1632</v>
      </c>
      <c r="B34" s="90" t="s">
        <v>2344</v>
      </c>
      <c r="C34" t="s">
        <v>1022</v>
      </c>
      <c r="D34" t="s">
        <v>2003</v>
      </c>
      <c r="E34" s="90">
        <f>P34</f>
        <v>-3</v>
      </c>
      <c r="F34" s="90">
        <v>0</v>
      </c>
      <c r="G34" s="90">
        <v>0</v>
      </c>
      <c r="H34" s="90">
        <v>0</v>
      </c>
      <c r="I34" s="90">
        <v>0</v>
      </c>
      <c r="J34" s="90">
        <v>0</v>
      </c>
      <c r="K34" s="90">
        <v>0</v>
      </c>
      <c r="L34" s="90">
        <v>0</v>
      </c>
      <c r="M34" s="90">
        <f>IF(C34="Carnivore",15,10)</f>
        <v>15</v>
      </c>
      <c r="N34" s="90">
        <v>0</v>
      </c>
      <c r="O34" s="90">
        <v>-3</v>
      </c>
      <c r="P34" s="90">
        <v>-3</v>
      </c>
      <c r="Q34" s="90" t="s">
        <v>1943</v>
      </c>
      <c r="R34" s="90" t="s">
        <v>1943</v>
      </c>
      <c r="S34" s="90" t="s">
        <v>1943</v>
      </c>
      <c r="T34" s="90" t="s">
        <v>1943</v>
      </c>
      <c r="U34" s="90" t="s">
        <v>1943</v>
      </c>
      <c r="V34" s="90"/>
      <c r="W34" s="168" t="s">
        <v>1959</v>
      </c>
      <c r="X34" s="90" t="s">
        <v>1514</v>
      </c>
      <c r="Y34" s="90" t="s">
        <v>1977</v>
      </c>
      <c r="Z34" s="90" t="s">
        <v>1977</v>
      </c>
      <c r="AA34" s="90" t="s">
        <v>1977</v>
      </c>
      <c r="AB34" s="90" t="s">
        <v>1977</v>
      </c>
      <c r="AC34" s="90" t="s">
        <v>1977</v>
      </c>
      <c r="AD34" s="242">
        <v>6</v>
      </c>
      <c r="AE34" s="242">
        <v>6</v>
      </c>
      <c r="AF34" s="90" t="s">
        <v>1977</v>
      </c>
      <c r="AG34" s="90" t="s">
        <v>1977</v>
      </c>
      <c r="AH34" s="90" t="s">
        <v>1977</v>
      </c>
      <c r="AI34" s="90" t="s">
        <v>1977</v>
      </c>
      <c r="AJ34" s="90" t="s">
        <v>1977</v>
      </c>
      <c r="AK34" s="90" t="s">
        <v>1977</v>
      </c>
      <c r="AL34" s="90" t="s">
        <v>1977</v>
      </c>
      <c r="AM34" s="90" t="s">
        <v>1977</v>
      </c>
      <c r="AN34" s="90" t="s">
        <v>1977</v>
      </c>
      <c r="AO34" s="90" t="s">
        <v>1977</v>
      </c>
      <c r="AP34" s="90" t="s">
        <v>1977</v>
      </c>
      <c r="AQ34" s="90" t="s">
        <v>1977</v>
      </c>
      <c r="AR34" s="90" t="s">
        <v>1977</v>
      </c>
      <c r="AS34" s="90" t="s">
        <v>1977</v>
      </c>
      <c r="AT34" s="90" t="s">
        <v>1977</v>
      </c>
      <c r="AU34" s="90" t="s">
        <v>1977</v>
      </c>
      <c r="AV34" s="90" t="s">
        <v>1977</v>
      </c>
      <c r="AW34" s="90" t="s">
        <v>1977</v>
      </c>
      <c r="AX34" s="90">
        <v>20</v>
      </c>
      <c r="AY34" s="90" t="str">
        <f>IF(U34&gt;0,"Yes",0)</f>
        <v>Yes</v>
      </c>
      <c r="BA34"/>
    </row>
    <row r="35" spans="1:68">
      <c r="A35" t="s">
        <v>181</v>
      </c>
      <c r="B35" s="90" t="s">
        <v>271</v>
      </c>
      <c r="C35" t="s">
        <v>1022</v>
      </c>
      <c r="D35" t="s">
        <v>1098</v>
      </c>
      <c r="E35" s="90">
        <v>0</v>
      </c>
      <c r="F35" s="90">
        <v>0</v>
      </c>
      <c r="G35" s="90">
        <v>0</v>
      </c>
      <c r="H35" s="90">
        <v>0</v>
      </c>
      <c r="I35" s="90">
        <v>0</v>
      </c>
      <c r="J35" s="90">
        <v>0</v>
      </c>
      <c r="K35" s="90">
        <v>0</v>
      </c>
      <c r="L35" s="90">
        <v>0</v>
      </c>
      <c r="M35" s="90">
        <v>15</v>
      </c>
      <c r="N35" s="90">
        <v>0</v>
      </c>
      <c r="O35" s="90">
        <v>2</v>
      </c>
      <c r="P35" s="90">
        <v>-3</v>
      </c>
      <c r="Q35" s="90" t="s">
        <v>1943</v>
      </c>
      <c r="R35" s="90" t="s">
        <v>1943</v>
      </c>
      <c r="S35" s="90" t="s">
        <v>1943</v>
      </c>
      <c r="T35" s="90" t="s">
        <v>1943</v>
      </c>
      <c r="U35" s="90" t="s">
        <v>1943</v>
      </c>
      <c r="V35" s="90" t="s">
        <v>1943</v>
      </c>
      <c r="W35" s="168" t="s">
        <v>182</v>
      </c>
      <c r="X35" s="90" t="s">
        <v>2278</v>
      </c>
      <c r="Y35" s="90" t="s">
        <v>2278</v>
      </c>
      <c r="Z35" s="90" t="s">
        <v>1977</v>
      </c>
      <c r="AA35" s="90" t="s">
        <v>1977</v>
      </c>
      <c r="AB35" s="90" t="s">
        <v>1977</v>
      </c>
      <c r="AC35" s="90" t="s">
        <v>1977</v>
      </c>
      <c r="AD35" s="242">
        <v>10</v>
      </c>
      <c r="AE35" s="242">
        <v>10</v>
      </c>
      <c r="AF35" s="90" t="s">
        <v>1977</v>
      </c>
      <c r="AG35" s="90" t="s">
        <v>1977</v>
      </c>
      <c r="AH35" s="90" t="s">
        <v>1977</v>
      </c>
      <c r="AI35" s="90" t="s">
        <v>1977</v>
      </c>
      <c r="AJ35" s="90" t="s">
        <v>1977</v>
      </c>
      <c r="AK35" s="90" t="s">
        <v>1977</v>
      </c>
      <c r="AL35" s="90" t="s">
        <v>1977</v>
      </c>
      <c r="AM35" s="90" t="s">
        <v>1977</v>
      </c>
      <c r="AN35" s="242" t="s">
        <v>1488</v>
      </c>
      <c r="AO35">
        <v>5</v>
      </c>
      <c r="AP35" s="90" t="s">
        <v>1977</v>
      </c>
      <c r="AQ35" s="90" t="s">
        <v>1977</v>
      </c>
      <c r="AR35" s="90" t="s">
        <v>1977</v>
      </c>
      <c r="AS35" s="90" t="s">
        <v>1977</v>
      </c>
      <c r="AT35" s="90" t="s">
        <v>1977</v>
      </c>
      <c r="AU35" s="90" t="s">
        <v>1977</v>
      </c>
      <c r="AV35" s="90" t="s">
        <v>1977</v>
      </c>
      <c r="AW35" s="90" t="s">
        <v>1977</v>
      </c>
      <c r="AX35" s="90">
        <v>30</v>
      </c>
      <c r="AY35" s="90">
        <v>0</v>
      </c>
      <c r="AZ35" t="s">
        <v>183</v>
      </c>
      <c r="BA35" t="s">
        <v>184</v>
      </c>
      <c r="BB35" t="s">
        <v>181</v>
      </c>
      <c r="BC35" t="s">
        <v>1022</v>
      </c>
      <c r="BD35" t="s">
        <v>271</v>
      </c>
      <c r="BE35" t="s">
        <v>1098</v>
      </c>
      <c r="BF35">
        <v>2</v>
      </c>
      <c r="BG35" t="s">
        <v>330</v>
      </c>
      <c r="BH35">
        <v>20</v>
      </c>
      <c r="BI35">
        <v>30</v>
      </c>
      <c r="BJ35" t="s">
        <v>1943</v>
      </c>
      <c r="BK35">
        <v>0</v>
      </c>
      <c r="BL35">
        <v>1</v>
      </c>
      <c r="BM35">
        <v>8</v>
      </c>
      <c r="BN35">
        <v>2</v>
      </c>
      <c r="BO35">
        <v>0</v>
      </c>
    </row>
    <row r="36" spans="1:68">
      <c r="A36" t="s">
        <v>152</v>
      </c>
      <c r="B36" s="90" t="s">
        <v>1344</v>
      </c>
      <c r="C36" t="s">
        <v>1022</v>
      </c>
      <c r="D36" t="s">
        <v>1098</v>
      </c>
      <c r="E36" s="90">
        <v>0</v>
      </c>
      <c r="F36" s="90">
        <v>0</v>
      </c>
      <c r="G36" s="90">
        <v>6</v>
      </c>
      <c r="H36" s="90">
        <v>0</v>
      </c>
      <c r="I36" s="90">
        <v>0</v>
      </c>
      <c r="J36" s="90">
        <v>0</v>
      </c>
      <c r="K36" s="90">
        <v>0</v>
      </c>
      <c r="L36" s="90">
        <v>0</v>
      </c>
      <c r="M36" s="90">
        <v>15</v>
      </c>
      <c r="N36" s="90">
        <v>0</v>
      </c>
      <c r="O36" s="90">
        <v>5</v>
      </c>
      <c r="P36" s="90">
        <v>-9</v>
      </c>
      <c r="Q36" s="90" t="s">
        <v>1510</v>
      </c>
      <c r="R36" s="90" t="s">
        <v>1510</v>
      </c>
      <c r="S36" s="90" t="s">
        <v>1510</v>
      </c>
      <c r="T36" s="90" t="s">
        <v>1510</v>
      </c>
      <c r="U36" s="90" t="s">
        <v>1510</v>
      </c>
      <c r="V36" s="90" t="s">
        <v>1510</v>
      </c>
      <c r="W36" s="168" t="s">
        <v>153</v>
      </c>
      <c r="X36" s="90" t="s">
        <v>2279</v>
      </c>
      <c r="Y36" s="90" t="s">
        <v>2279</v>
      </c>
      <c r="Z36" s="90" t="s">
        <v>1977</v>
      </c>
      <c r="AA36" s="90" t="s">
        <v>1977</v>
      </c>
      <c r="AB36" s="90" t="s">
        <v>1977</v>
      </c>
      <c r="AC36" s="90" t="s">
        <v>1977</v>
      </c>
      <c r="AD36" s="242">
        <v>10</v>
      </c>
      <c r="AE36" s="242">
        <v>10</v>
      </c>
      <c r="AF36" s="90" t="s">
        <v>1977</v>
      </c>
      <c r="AG36" s="90" t="s">
        <v>1977</v>
      </c>
      <c r="AH36" s="90" t="s">
        <v>1977</v>
      </c>
      <c r="AI36" s="90" t="s">
        <v>1977</v>
      </c>
      <c r="AJ36" s="90" t="s">
        <v>1977</v>
      </c>
      <c r="AK36" s="90" t="s">
        <v>1977</v>
      </c>
      <c r="AL36" s="90" t="s">
        <v>1977</v>
      </c>
      <c r="AM36" s="90" t="s">
        <v>1977</v>
      </c>
      <c r="AN36" s="242" t="s">
        <v>1488</v>
      </c>
      <c r="AO36">
        <v>5</v>
      </c>
      <c r="AP36" s="90" t="s">
        <v>1977</v>
      </c>
      <c r="AQ36" s="90" t="s">
        <v>1977</v>
      </c>
      <c r="AR36" s="90" t="s">
        <v>1977</v>
      </c>
      <c r="AS36" s="90" t="s">
        <v>1977</v>
      </c>
      <c r="AT36" s="90" t="s">
        <v>1977</v>
      </c>
      <c r="AU36" s="90" t="s">
        <v>1977</v>
      </c>
      <c r="AV36" s="90" t="s">
        <v>1977</v>
      </c>
      <c r="AW36" s="90" t="s">
        <v>1977</v>
      </c>
      <c r="AX36" s="90">
        <v>5</v>
      </c>
      <c r="AY36" s="90" t="s">
        <v>1876</v>
      </c>
      <c r="AZ36" t="s">
        <v>183</v>
      </c>
      <c r="BA36" t="s">
        <v>154</v>
      </c>
      <c r="BB36" t="s">
        <v>152</v>
      </c>
      <c r="BC36" t="s">
        <v>1022</v>
      </c>
      <c r="BD36" t="s">
        <v>1344</v>
      </c>
      <c r="BE36" t="s">
        <v>1098</v>
      </c>
      <c r="BF36">
        <v>5</v>
      </c>
      <c r="BG36" t="s">
        <v>330</v>
      </c>
      <c r="BH36">
        <v>1</v>
      </c>
      <c r="BI36">
        <v>5</v>
      </c>
      <c r="BJ36" t="s">
        <v>1510</v>
      </c>
      <c r="BK36">
        <v>-2</v>
      </c>
      <c r="BL36">
        <v>1</v>
      </c>
      <c r="BM36">
        <v>2</v>
      </c>
      <c r="BN36">
        <v>1</v>
      </c>
      <c r="BO36">
        <v>0</v>
      </c>
      <c r="BP36" t="s">
        <v>1876</v>
      </c>
    </row>
    <row r="37" spans="1:68">
      <c r="A37" t="s">
        <v>88</v>
      </c>
      <c r="B37" s="90" t="s">
        <v>334</v>
      </c>
      <c r="C37" t="s">
        <v>1317</v>
      </c>
      <c r="D37" t="s">
        <v>1619</v>
      </c>
      <c r="E37" s="90">
        <v>0</v>
      </c>
      <c r="F37" s="90">
        <v>0</v>
      </c>
      <c r="G37" s="90">
        <v>0</v>
      </c>
      <c r="H37" s="90">
        <v>0</v>
      </c>
      <c r="I37" s="90">
        <v>0</v>
      </c>
      <c r="J37" s="90">
        <v>0</v>
      </c>
      <c r="K37" s="90">
        <v>0</v>
      </c>
      <c r="L37" s="90">
        <v>0</v>
      </c>
      <c r="M37" s="90">
        <v>15</v>
      </c>
      <c r="N37" s="90">
        <v>0</v>
      </c>
      <c r="O37" s="90">
        <v>3</v>
      </c>
      <c r="P37" s="90">
        <v>8</v>
      </c>
      <c r="Q37" s="90" t="s">
        <v>1944</v>
      </c>
      <c r="R37" s="90" t="s">
        <v>1944</v>
      </c>
      <c r="S37" s="90" t="s">
        <v>1944</v>
      </c>
      <c r="T37" s="90" t="s">
        <v>1944</v>
      </c>
      <c r="U37" s="90" t="s">
        <v>1944</v>
      </c>
      <c r="V37" s="90" t="s">
        <v>1944</v>
      </c>
      <c r="W37" s="168" t="s">
        <v>78</v>
      </c>
      <c r="X37" s="90" t="s">
        <v>2140</v>
      </c>
      <c r="Y37" s="90" t="s">
        <v>1977</v>
      </c>
      <c r="Z37" s="90" t="s">
        <v>1977</v>
      </c>
      <c r="AA37" s="90" t="s">
        <v>1977</v>
      </c>
      <c r="AB37" s="90" t="s">
        <v>1977</v>
      </c>
      <c r="AC37" s="90" t="s">
        <v>1977</v>
      </c>
      <c r="AD37" s="242">
        <v>5</v>
      </c>
      <c r="AE37" s="242">
        <v>5</v>
      </c>
      <c r="AF37" s="90" t="s">
        <v>1977</v>
      </c>
      <c r="AG37" s="90" t="s">
        <v>1977</v>
      </c>
      <c r="AH37" s="90" t="s">
        <v>1977</v>
      </c>
      <c r="AI37" s="90" t="s">
        <v>1977</v>
      </c>
      <c r="AJ37" s="90" t="s">
        <v>1977</v>
      </c>
      <c r="AK37" s="90" t="s">
        <v>1977</v>
      </c>
      <c r="AL37" s="90" t="s">
        <v>1977</v>
      </c>
      <c r="AM37" s="90" t="s">
        <v>1977</v>
      </c>
      <c r="AN37" s="90" t="s">
        <v>1977</v>
      </c>
      <c r="AO37" s="90" t="s">
        <v>1977</v>
      </c>
      <c r="AP37" s="90" t="s">
        <v>1977</v>
      </c>
      <c r="AQ37" s="90" t="s">
        <v>1977</v>
      </c>
      <c r="AR37" s="90" t="s">
        <v>1977</v>
      </c>
      <c r="AS37" s="90" t="s">
        <v>1977</v>
      </c>
      <c r="AT37" s="90" t="s">
        <v>1977</v>
      </c>
      <c r="AU37" s="90" t="s">
        <v>1977</v>
      </c>
      <c r="AV37" s="90" t="s">
        <v>1977</v>
      </c>
      <c r="AW37" s="90" t="s">
        <v>1977</v>
      </c>
      <c r="AX37" s="90">
        <v>35</v>
      </c>
      <c r="AY37" s="90">
        <v>0</v>
      </c>
      <c r="AZ37" t="s">
        <v>91</v>
      </c>
      <c r="BA37" t="s">
        <v>79</v>
      </c>
      <c r="BB37" t="s">
        <v>88</v>
      </c>
      <c r="BC37" t="s">
        <v>1317</v>
      </c>
      <c r="BD37" t="s">
        <v>334</v>
      </c>
      <c r="BE37" t="s">
        <v>1619</v>
      </c>
      <c r="BF37">
        <v>3</v>
      </c>
      <c r="BG37" t="s">
        <v>326</v>
      </c>
      <c r="BH37">
        <v>50000</v>
      </c>
      <c r="BI37">
        <v>35</v>
      </c>
      <c r="BJ37" t="s">
        <v>1944</v>
      </c>
      <c r="BK37">
        <v>2</v>
      </c>
      <c r="BL37">
        <v>23</v>
      </c>
      <c r="BM37">
        <v>37</v>
      </c>
      <c r="BN37">
        <v>20</v>
      </c>
      <c r="BO37">
        <v>14</v>
      </c>
    </row>
    <row r="38" spans="1:68">
      <c r="A38" t="s">
        <v>2345</v>
      </c>
      <c r="B38" s="90" t="s">
        <v>2346</v>
      </c>
      <c r="C38" t="s">
        <v>2203</v>
      </c>
      <c r="D38" t="s">
        <v>1109</v>
      </c>
      <c r="E38" s="90">
        <f>P38</f>
        <v>-3</v>
      </c>
      <c r="F38" s="90">
        <v>0</v>
      </c>
      <c r="G38" s="90">
        <v>4</v>
      </c>
      <c r="H38" s="90">
        <v>0</v>
      </c>
      <c r="I38" s="90">
        <v>0</v>
      </c>
      <c r="J38" s="90">
        <v>0</v>
      </c>
      <c r="K38" s="90">
        <v>3</v>
      </c>
      <c r="L38" s="90">
        <v>0</v>
      </c>
      <c r="M38" s="90">
        <f>IF(C38="Carnivore",15,10)</f>
        <v>10</v>
      </c>
      <c r="N38" s="90">
        <v>4</v>
      </c>
      <c r="O38" s="90">
        <v>-3</v>
      </c>
      <c r="P38" s="90">
        <v>-3</v>
      </c>
      <c r="Q38" s="90" t="s">
        <v>1943</v>
      </c>
      <c r="R38" s="90" t="s">
        <v>1943</v>
      </c>
      <c r="S38" s="90" t="s">
        <v>1943</v>
      </c>
      <c r="T38" s="90" t="s">
        <v>1943</v>
      </c>
      <c r="U38" s="90"/>
      <c r="V38" s="90"/>
      <c r="W38" s="168" t="s">
        <v>1865</v>
      </c>
      <c r="X38" s="90" t="s">
        <v>1977</v>
      </c>
      <c r="Y38" s="90" t="s">
        <v>1977</v>
      </c>
      <c r="Z38" s="90" t="s">
        <v>1977</v>
      </c>
      <c r="AA38" s="90" t="s">
        <v>1977</v>
      </c>
      <c r="AB38" s="90" t="s">
        <v>1977</v>
      </c>
      <c r="AC38" s="90" t="s">
        <v>1977</v>
      </c>
      <c r="AD38" s="242">
        <v>7</v>
      </c>
      <c r="AE38" s="242">
        <v>2</v>
      </c>
      <c r="AF38" s="90" t="s">
        <v>1977</v>
      </c>
      <c r="AG38" s="90" t="s">
        <v>1977</v>
      </c>
      <c r="AH38" s="242" t="s">
        <v>1854</v>
      </c>
      <c r="AI38" s="242" t="s">
        <v>2069</v>
      </c>
      <c r="AJ38" s="90" t="s">
        <v>1977</v>
      </c>
      <c r="AK38" s="90" t="s">
        <v>1977</v>
      </c>
      <c r="AL38" s="242" t="s">
        <v>2002</v>
      </c>
      <c r="AM38" s="90" t="s">
        <v>1977</v>
      </c>
      <c r="AN38" s="242" t="s">
        <v>1846</v>
      </c>
      <c r="AO38" s="90" t="s">
        <v>1977</v>
      </c>
      <c r="AP38" s="90" t="s">
        <v>1977</v>
      </c>
      <c r="AQ38" s="90" t="s">
        <v>1977</v>
      </c>
      <c r="AR38" s="90" t="s">
        <v>1977</v>
      </c>
      <c r="AS38" s="90" t="s">
        <v>1977</v>
      </c>
      <c r="AT38" s="90" t="s">
        <v>1977</v>
      </c>
      <c r="AU38" s="90" t="s">
        <v>1977</v>
      </c>
      <c r="AV38" s="90" t="s">
        <v>1977</v>
      </c>
      <c r="AW38" s="90" t="s">
        <v>1977</v>
      </c>
      <c r="AX38" s="90">
        <v>-4</v>
      </c>
      <c r="AY38" s="90">
        <f>IF(U38&gt;0,"Yes",0)</f>
        <v>0</v>
      </c>
      <c r="BA38"/>
    </row>
    <row r="39" spans="1:68">
      <c r="A39" t="s">
        <v>125</v>
      </c>
      <c r="B39" s="90">
        <v>1</v>
      </c>
      <c r="C39" t="s">
        <v>1022</v>
      </c>
      <c r="D39" t="s">
        <v>2003</v>
      </c>
      <c r="E39" s="90">
        <v>0</v>
      </c>
      <c r="F39" s="90">
        <v>0</v>
      </c>
      <c r="G39" s="90">
        <v>0</v>
      </c>
      <c r="H39" s="90">
        <v>0</v>
      </c>
      <c r="I39" s="90">
        <v>0</v>
      </c>
      <c r="J39" s="90">
        <v>0</v>
      </c>
      <c r="K39" s="90">
        <v>0</v>
      </c>
      <c r="L39" s="90">
        <v>0</v>
      </c>
      <c r="M39" s="90">
        <v>15</v>
      </c>
      <c r="N39" s="90">
        <v>0</v>
      </c>
      <c r="O39" s="90">
        <v>1</v>
      </c>
      <c r="P39" s="90">
        <v>-10</v>
      </c>
      <c r="Q39" s="90" t="s">
        <v>1511</v>
      </c>
      <c r="R39" s="90" t="s">
        <v>1511</v>
      </c>
      <c r="S39" s="90" t="s">
        <v>1511</v>
      </c>
      <c r="T39" s="90" t="s">
        <v>1511</v>
      </c>
      <c r="U39" s="90" t="s">
        <v>1511</v>
      </c>
      <c r="V39" s="90" t="s">
        <v>1511</v>
      </c>
      <c r="W39" s="168" t="s">
        <v>114</v>
      </c>
      <c r="X39" s="90" t="s">
        <v>1514</v>
      </c>
      <c r="Y39" s="90" t="s">
        <v>1977</v>
      </c>
      <c r="Z39" s="90" t="s">
        <v>1977</v>
      </c>
      <c r="AA39" s="90" t="s">
        <v>1977</v>
      </c>
      <c r="AB39" s="90" t="s">
        <v>1977</v>
      </c>
      <c r="AC39" s="90" t="s">
        <v>1977</v>
      </c>
      <c r="AD39" s="242">
        <v>10</v>
      </c>
      <c r="AE39" s="242">
        <v>10</v>
      </c>
      <c r="AF39" s="90" t="s">
        <v>1977</v>
      </c>
      <c r="AG39" s="90" t="s">
        <v>1977</v>
      </c>
      <c r="AH39" s="242" t="s">
        <v>2368</v>
      </c>
      <c r="AI39" s="90" t="s">
        <v>1977</v>
      </c>
      <c r="AJ39" s="90" t="s">
        <v>1977</v>
      </c>
      <c r="AK39" s="90" t="s">
        <v>1977</v>
      </c>
      <c r="AL39" s="90" t="s">
        <v>1977</v>
      </c>
      <c r="AM39" s="90" t="s">
        <v>1977</v>
      </c>
      <c r="AN39" s="90" t="s">
        <v>1977</v>
      </c>
      <c r="AO39" s="90" t="s">
        <v>1977</v>
      </c>
      <c r="AP39" s="90" t="s">
        <v>1977</v>
      </c>
      <c r="AQ39" s="90" t="s">
        <v>1977</v>
      </c>
      <c r="AR39" s="90" t="s">
        <v>1977</v>
      </c>
      <c r="AS39" s="90" t="s">
        <v>1977</v>
      </c>
      <c r="AT39" s="90" t="s">
        <v>1977</v>
      </c>
      <c r="AU39" s="90" t="s">
        <v>1977</v>
      </c>
      <c r="AV39" s="90" t="s">
        <v>1977</v>
      </c>
      <c r="AW39" s="90" t="s">
        <v>1977</v>
      </c>
      <c r="AX39" s="90">
        <v>50</v>
      </c>
      <c r="AY39" s="90">
        <v>0</v>
      </c>
      <c r="AZ39" t="s">
        <v>324</v>
      </c>
      <c r="BA39" t="s">
        <v>115</v>
      </c>
      <c r="BB39" t="s">
        <v>125</v>
      </c>
      <c r="BC39" t="s">
        <v>1022</v>
      </c>
      <c r="BD39">
        <v>1</v>
      </c>
      <c r="BE39" t="s">
        <v>2003</v>
      </c>
      <c r="BF39">
        <v>1</v>
      </c>
      <c r="BG39" t="s">
        <v>330</v>
      </c>
      <c r="BH39">
        <v>0.05</v>
      </c>
      <c r="BI39">
        <v>50</v>
      </c>
      <c r="BJ39" t="s">
        <v>1511</v>
      </c>
      <c r="BK39">
        <v>-5</v>
      </c>
      <c r="BL39">
        <v>1</v>
      </c>
      <c r="BM39">
        <v>2</v>
      </c>
      <c r="BN39">
        <v>1</v>
      </c>
      <c r="BO39">
        <v>0</v>
      </c>
    </row>
    <row r="40" spans="1:68">
      <c r="A40" t="s">
        <v>2042</v>
      </c>
      <c r="B40" s="101" t="s">
        <v>2043</v>
      </c>
      <c r="C40" t="s">
        <v>1022</v>
      </c>
      <c r="D40" t="s">
        <v>1109</v>
      </c>
      <c r="E40" s="90">
        <f>P40</f>
        <v>3</v>
      </c>
      <c r="F40" s="90">
        <v>4</v>
      </c>
      <c r="G40" s="90">
        <v>4</v>
      </c>
      <c r="H40" s="90">
        <v>8</v>
      </c>
      <c r="I40" s="90">
        <v>2</v>
      </c>
      <c r="J40" s="90">
        <v>1</v>
      </c>
      <c r="K40" s="90">
        <v>1</v>
      </c>
      <c r="L40" s="90">
        <v>0</v>
      </c>
      <c r="M40" s="90">
        <f>IF(C40="Carnivore",15,10)</f>
        <v>15</v>
      </c>
      <c r="N40" s="90">
        <v>2</v>
      </c>
      <c r="O40" s="90">
        <v>3</v>
      </c>
      <c r="P40" s="90">
        <v>3</v>
      </c>
      <c r="Q40" t="s">
        <v>1519</v>
      </c>
      <c r="R40" t="s">
        <v>1519</v>
      </c>
      <c r="S40" t="s">
        <v>1519</v>
      </c>
      <c r="T40" t="s">
        <v>1519</v>
      </c>
      <c r="U40" s="90"/>
      <c r="V40" s="90"/>
      <c r="W40" t="s">
        <v>1942</v>
      </c>
      <c r="X40" t="s">
        <v>2279</v>
      </c>
      <c r="Y40" t="s">
        <v>2279</v>
      </c>
      <c r="Z40" t="s">
        <v>2278</v>
      </c>
      <c r="AA40" t="s">
        <v>2278</v>
      </c>
      <c r="AB40" t="s">
        <v>1514</v>
      </c>
      <c r="AC40" s="90" t="s">
        <v>1977</v>
      </c>
      <c r="AD40" s="90">
        <v>6</v>
      </c>
      <c r="AE40" s="90">
        <v>6</v>
      </c>
      <c r="AF40" s="90" t="s">
        <v>1977</v>
      </c>
      <c r="AG40" s="90" t="s">
        <v>1977</v>
      </c>
      <c r="AH40" s="90" t="s">
        <v>1977</v>
      </c>
      <c r="AI40" s="90" t="s">
        <v>1977</v>
      </c>
      <c r="AJ40" s="90" t="s">
        <v>1977</v>
      </c>
      <c r="AK40" s="90" t="s">
        <v>1977</v>
      </c>
      <c r="AL40" s="90" t="s">
        <v>1977</v>
      </c>
      <c r="AM40" s="90" t="s">
        <v>1977</v>
      </c>
      <c r="AN40" t="s">
        <v>2227</v>
      </c>
      <c r="AO40" s="90">
        <v>8</v>
      </c>
      <c r="AP40" t="s">
        <v>1259</v>
      </c>
      <c r="AQ40" s="90">
        <v>8</v>
      </c>
      <c r="AR40" t="s">
        <v>1582</v>
      </c>
      <c r="AS40" s="90">
        <v>8</v>
      </c>
      <c r="AT40" t="s">
        <v>1466</v>
      </c>
      <c r="AU40" s="90">
        <v>8</v>
      </c>
      <c r="AV40" t="s">
        <v>2228</v>
      </c>
      <c r="AW40" s="90">
        <v>26</v>
      </c>
      <c r="AX40" s="90">
        <v>12</v>
      </c>
      <c r="AY40" s="90">
        <f>IF(U40&gt;0,"Yes",0)</f>
        <v>0</v>
      </c>
      <c r="BA40"/>
    </row>
    <row r="41" spans="1:68">
      <c r="A41" t="s">
        <v>1852</v>
      </c>
      <c r="B41" s="90" t="s">
        <v>2344</v>
      </c>
      <c r="C41" t="s">
        <v>1022</v>
      </c>
      <c r="D41" t="s">
        <v>1109</v>
      </c>
      <c r="E41" s="90">
        <f>P41</f>
        <v>-1</v>
      </c>
      <c r="F41" s="90">
        <v>0</v>
      </c>
      <c r="G41" s="90">
        <v>0</v>
      </c>
      <c r="H41" s="90">
        <v>0</v>
      </c>
      <c r="I41" s="90">
        <v>0</v>
      </c>
      <c r="J41" s="90">
        <v>0</v>
      </c>
      <c r="K41" s="90">
        <v>0</v>
      </c>
      <c r="L41" s="90">
        <v>0</v>
      </c>
      <c r="M41" s="90">
        <f>IF(C41="Carnivore",15,10)</f>
        <v>15</v>
      </c>
      <c r="N41" s="90">
        <v>0</v>
      </c>
      <c r="O41" s="90">
        <v>-1</v>
      </c>
      <c r="P41" s="90">
        <v>-1</v>
      </c>
      <c r="Q41" s="90" t="s">
        <v>1714</v>
      </c>
      <c r="R41" s="90" t="s">
        <v>1714</v>
      </c>
      <c r="S41" s="90" t="s">
        <v>1714</v>
      </c>
      <c r="T41" s="90" t="s">
        <v>1714</v>
      </c>
      <c r="U41" s="90"/>
      <c r="V41" s="90"/>
      <c r="W41" s="168" t="s">
        <v>1704</v>
      </c>
      <c r="X41" s="90" t="s">
        <v>2278</v>
      </c>
      <c r="Y41" s="90" t="s">
        <v>2278</v>
      </c>
      <c r="Z41" s="90" t="s">
        <v>1514</v>
      </c>
      <c r="AA41" s="90" t="s">
        <v>1977</v>
      </c>
      <c r="AB41" s="90" t="s">
        <v>1977</v>
      </c>
      <c r="AC41" s="90" t="s">
        <v>1977</v>
      </c>
      <c r="AD41" s="242">
        <v>7</v>
      </c>
      <c r="AE41" s="242">
        <v>6</v>
      </c>
      <c r="AF41" s="90" t="s">
        <v>1977</v>
      </c>
      <c r="AG41" s="90" t="s">
        <v>1977</v>
      </c>
      <c r="AH41" s="90" t="s">
        <v>1977</v>
      </c>
      <c r="AI41" s="90" t="s">
        <v>1977</v>
      </c>
      <c r="AJ41" s="90" t="s">
        <v>1977</v>
      </c>
      <c r="AK41" s="90" t="s">
        <v>1977</v>
      </c>
      <c r="AL41" s="90" t="s">
        <v>1977</v>
      </c>
      <c r="AM41" s="90" t="s">
        <v>1977</v>
      </c>
      <c r="AN41" s="90" t="s">
        <v>1977</v>
      </c>
      <c r="AO41" s="90" t="s">
        <v>1977</v>
      </c>
      <c r="AP41" s="90" t="s">
        <v>1977</v>
      </c>
      <c r="AQ41" s="90" t="s">
        <v>1977</v>
      </c>
      <c r="AR41" s="90" t="s">
        <v>1977</v>
      </c>
      <c r="AS41" s="90" t="s">
        <v>1977</v>
      </c>
      <c r="AT41" s="90" t="s">
        <v>1977</v>
      </c>
      <c r="AU41" s="90" t="s">
        <v>1977</v>
      </c>
      <c r="AV41" s="90" t="s">
        <v>1977</v>
      </c>
      <c r="AW41" s="90" t="s">
        <v>1977</v>
      </c>
      <c r="AX41" s="90">
        <v>0</v>
      </c>
      <c r="AY41" s="90">
        <f>IF(U41&gt;0,"Yes",0)</f>
        <v>0</v>
      </c>
      <c r="BA41"/>
    </row>
    <row r="42" spans="1:68">
      <c r="A42" t="s">
        <v>2017</v>
      </c>
      <c r="B42" s="90">
        <v>1</v>
      </c>
      <c r="C42" t="s">
        <v>2277</v>
      </c>
      <c r="D42" t="s">
        <v>1098</v>
      </c>
      <c r="E42" s="90">
        <f>P42</f>
        <v>2</v>
      </c>
      <c r="F42" s="90">
        <v>0</v>
      </c>
      <c r="G42" s="90">
        <v>0</v>
      </c>
      <c r="H42" s="90">
        <v>0</v>
      </c>
      <c r="I42" s="90">
        <v>0</v>
      </c>
      <c r="J42" s="90">
        <v>0</v>
      </c>
      <c r="K42" s="90">
        <v>0</v>
      </c>
      <c r="L42" s="90">
        <v>0</v>
      </c>
      <c r="M42" s="90">
        <f>IF(C42="Carnivore",15,10)</f>
        <v>10</v>
      </c>
      <c r="N42" s="90">
        <v>0</v>
      </c>
      <c r="O42" s="90">
        <v>2</v>
      </c>
      <c r="P42" s="90">
        <v>2</v>
      </c>
      <c r="Q42" s="90" t="s">
        <v>1810</v>
      </c>
      <c r="R42" s="90" t="s">
        <v>1810</v>
      </c>
      <c r="S42" s="90" t="s">
        <v>1810</v>
      </c>
      <c r="T42" s="90" t="s">
        <v>1810</v>
      </c>
      <c r="U42" s="90"/>
      <c r="V42" s="90"/>
      <c r="W42" s="168" t="s">
        <v>1812</v>
      </c>
      <c r="X42" s="90" t="s">
        <v>2139</v>
      </c>
      <c r="Y42" s="90" t="s">
        <v>2139</v>
      </c>
      <c r="Z42" s="90" t="s">
        <v>2139</v>
      </c>
      <c r="AA42" s="90" t="s">
        <v>2139</v>
      </c>
      <c r="AB42" s="90" t="s">
        <v>1977</v>
      </c>
      <c r="AC42" s="90" t="s">
        <v>1977</v>
      </c>
      <c r="AD42" s="242">
        <v>6</v>
      </c>
      <c r="AE42" s="242">
        <v>5</v>
      </c>
      <c r="AF42" s="90" t="s">
        <v>1977</v>
      </c>
      <c r="AG42" s="90" t="s">
        <v>1977</v>
      </c>
      <c r="AH42" s="90" t="s">
        <v>1977</v>
      </c>
      <c r="AI42" s="90" t="s">
        <v>1977</v>
      </c>
      <c r="AJ42" s="90" t="s">
        <v>1977</v>
      </c>
      <c r="AK42" s="90" t="s">
        <v>1977</v>
      </c>
      <c r="AL42" s="90" t="s">
        <v>1977</v>
      </c>
      <c r="AM42" s="90" t="s">
        <v>1977</v>
      </c>
      <c r="AN42" s="90" t="s">
        <v>1977</v>
      </c>
      <c r="AO42" s="90" t="s">
        <v>1977</v>
      </c>
      <c r="AP42" s="90" t="s">
        <v>1977</v>
      </c>
      <c r="AQ42" s="90" t="s">
        <v>1977</v>
      </c>
      <c r="AR42" s="90" t="s">
        <v>1977</v>
      </c>
      <c r="AS42" s="90" t="s">
        <v>1977</v>
      </c>
      <c r="AT42" s="90" t="s">
        <v>1977</v>
      </c>
      <c r="AU42" s="90" t="s">
        <v>1977</v>
      </c>
      <c r="AV42" s="90" t="s">
        <v>1977</v>
      </c>
      <c r="AW42" s="90" t="s">
        <v>1977</v>
      </c>
      <c r="AX42" s="90">
        <v>-4</v>
      </c>
      <c r="AY42" s="90">
        <f>IF(U42&gt;0,"Yes",0)</f>
        <v>0</v>
      </c>
      <c r="BA42"/>
    </row>
    <row r="43" spans="1:68">
      <c r="A43" t="s">
        <v>19</v>
      </c>
      <c r="B43" s="90" t="s">
        <v>276</v>
      </c>
      <c r="C43" t="s">
        <v>1317</v>
      </c>
      <c r="D43" t="s">
        <v>1619</v>
      </c>
      <c r="E43" s="90">
        <v>0</v>
      </c>
      <c r="F43" s="90">
        <v>0</v>
      </c>
      <c r="G43" s="90">
        <v>0</v>
      </c>
      <c r="H43" s="90">
        <v>0</v>
      </c>
      <c r="I43" s="90">
        <v>0</v>
      </c>
      <c r="J43" s="90">
        <v>0</v>
      </c>
      <c r="K43" s="90">
        <v>0</v>
      </c>
      <c r="L43" s="90">
        <v>0</v>
      </c>
      <c r="M43" s="90">
        <v>15</v>
      </c>
      <c r="N43" s="90">
        <v>0</v>
      </c>
      <c r="O43" s="90">
        <v>3</v>
      </c>
      <c r="P43" s="90">
        <v>2</v>
      </c>
      <c r="Q43" s="90" t="s">
        <v>1943</v>
      </c>
      <c r="R43" s="90" t="s">
        <v>1943</v>
      </c>
      <c r="S43" s="90" t="s">
        <v>1943</v>
      </c>
      <c r="T43" s="90" t="s">
        <v>1943</v>
      </c>
      <c r="U43" s="90" t="s">
        <v>1943</v>
      </c>
      <c r="V43" s="90" t="s">
        <v>1943</v>
      </c>
      <c r="W43" s="168" t="s">
        <v>20</v>
      </c>
      <c r="X43" s="90" t="s">
        <v>1514</v>
      </c>
      <c r="Y43" s="90" t="s">
        <v>1515</v>
      </c>
      <c r="Z43" s="90" t="s">
        <v>1977</v>
      </c>
      <c r="AA43" s="90" t="s">
        <v>1977</v>
      </c>
      <c r="AB43" s="90" t="s">
        <v>1977</v>
      </c>
      <c r="AC43" s="90" t="s">
        <v>1977</v>
      </c>
      <c r="AD43" s="242">
        <v>5</v>
      </c>
      <c r="AE43" s="242">
        <v>5</v>
      </c>
      <c r="AF43" s="90" t="s">
        <v>1977</v>
      </c>
      <c r="AG43" s="90" t="s">
        <v>1977</v>
      </c>
      <c r="AH43" s="90" t="s">
        <v>1977</v>
      </c>
      <c r="AI43" s="90" t="s">
        <v>1977</v>
      </c>
      <c r="AJ43" s="90" t="s">
        <v>1977</v>
      </c>
      <c r="AK43" s="90" t="s">
        <v>1977</v>
      </c>
      <c r="AL43" s="90" t="s">
        <v>1977</v>
      </c>
      <c r="AM43" s="90" t="s">
        <v>1977</v>
      </c>
      <c r="AN43" s="90" t="s">
        <v>1977</v>
      </c>
      <c r="AO43" s="90" t="s">
        <v>1977</v>
      </c>
      <c r="AP43" s="90" t="s">
        <v>1977</v>
      </c>
      <c r="AQ43" s="90" t="s">
        <v>1977</v>
      </c>
      <c r="AR43" s="90" t="s">
        <v>1977</v>
      </c>
      <c r="AS43" s="90" t="s">
        <v>1977</v>
      </c>
      <c r="AT43" s="90" t="s">
        <v>1977</v>
      </c>
      <c r="AU43" s="90" t="s">
        <v>1977</v>
      </c>
      <c r="AV43" s="90" t="s">
        <v>1977</v>
      </c>
      <c r="AW43" s="90" t="s">
        <v>1977</v>
      </c>
      <c r="AX43" s="90">
        <v>40</v>
      </c>
      <c r="AY43" s="90">
        <v>0</v>
      </c>
      <c r="AZ43" t="s">
        <v>324</v>
      </c>
      <c r="BA43" t="s">
        <v>21</v>
      </c>
      <c r="BB43" t="s">
        <v>19</v>
      </c>
      <c r="BC43" t="s">
        <v>1317</v>
      </c>
      <c r="BD43" t="s">
        <v>276</v>
      </c>
      <c r="BE43" t="s">
        <v>1619</v>
      </c>
      <c r="BF43">
        <v>3</v>
      </c>
      <c r="BG43" t="s">
        <v>326</v>
      </c>
      <c r="BH43">
        <v>200</v>
      </c>
      <c r="BI43">
        <v>40</v>
      </c>
      <c r="BJ43" t="s">
        <v>1943</v>
      </c>
      <c r="BK43">
        <v>14</v>
      </c>
      <c r="BL43">
        <v>6</v>
      </c>
      <c r="BM43">
        <v>6</v>
      </c>
      <c r="BN43">
        <v>4</v>
      </c>
      <c r="BO43">
        <v>-1</v>
      </c>
    </row>
    <row r="44" spans="1:68">
      <c r="A44" t="s">
        <v>338</v>
      </c>
      <c r="B44" s="90" t="s">
        <v>1344</v>
      </c>
      <c r="C44" t="s">
        <v>1022</v>
      </c>
      <c r="D44" t="s">
        <v>1098</v>
      </c>
      <c r="E44" s="90">
        <v>0</v>
      </c>
      <c r="F44" s="90">
        <v>0</v>
      </c>
      <c r="G44" s="90">
        <v>3</v>
      </c>
      <c r="H44" s="90">
        <v>0</v>
      </c>
      <c r="I44" s="90">
        <v>0</v>
      </c>
      <c r="J44" s="90">
        <v>0</v>
      </c>
      <c r="K44" s="90">
        <v>0</v>
      </c>
      <c r="L44" s="90">
        <v>0</v>
      </c>
      <c r="M44" s="90">
        <v>15</v>
      </c>
      <c r="N44" s="90">
        <v>3</v>
      </c>
      <c r="O44" s="90">
        <v>3</v>
      </c>
      <c r="P44" s="90">
        <v>-5</v>
      </c>
      <c r="Q44" s="90" t="s">
        <v>322</v>
      </c>
      <c r="R44" s="90" t="s">
        <v>322</v>
      </c>
      <c r="S44" s="90" t="s">
        <v>322</v>
      </c>
      <c r="T44" s="90" t="s">
        <v>322</v>
      </c>
      <c r="U44" s="90" t="s">
        <v>322</v>
      </c>
      <c r="V44" s="90" t="s">
        <v>322</v>
      </c>
      <c r="W44" s="168" t="s">
        <v>339</v>
      </c>
      <c r="X44" s="90" t="s">
        <v>2278</v>
      </c>
      <c r="Y44" s="90" t="s">
        <v>2278</v>
      </c>
      <c r="Z44" s="90" t="s">
        <v>1514</v>
      </c>
      <c r="AA44" s="90" t="s">
        <v>1977</v>
      </c>
      <c r="AB44" s="90" t="s">
        <v>1977</v>
      </c>
      <c r="AC44" s="90" t="s">
        <v>1977</v>
      </c>
      <c r="AD44" s="242">
        <v>10</v>
      </c>
      <c r="AE44" s="242">
        <v>10</v>
      </c>
      <c r="AF44" s="90" t="s">
        <v>1977</v>
      </c>
      <c r="AG44" s="90" t="s">
        <v>1977</v>
      </c>
      <c r="AH44" s="90" t="s">
        <v>1977</v>
      </c>
      <c r="AI44" s="90" t="s">
        <v>1977</v>
      </c>
      <c r="AJ44" s="90" t="s">
        <v>1977</v>
      </c>
      <c r="AK44" s="90" t="s">
        <v>1977</v>
      </c>
      <c r="AL44" s="90" t="s">
        <v>1977</v>
      </c>
      <c r="AM44" s="90" t="s">
        <v>1977</v>
      </c>
      <c r="AN44" s="242" t="s">
        <v>1223</v>
      </c>
      <c r="AO44">
        <v>5</v>
      </c>
      <c r="AP44" t="s">
        <v>1488</v>
      </c>
      <c r="AQ44">
        <v>6</v>
      </c>
      <c r="AR44" t="s">
        <v>340</v>
      </c>
      <c r="AS44">
        <v>2</v>
      </c>
      <c r="AT44" s="90" t="s">
        <v>1977</v>
      </c>
      <c r="AU44" s="90" t="s">
        <v>1977</v>
      </c>
      <c r="AV44" s="90" t="s">
        <v>1977</v>
      </c>
      <c r="AW44" s="90" t="s">
        <v>1977</v>
      </c>
      <c r="AX44" s="90">
        <v>90</v>
      </c>
      <c r="AY44" s="90">
        <v>0</v>
      </c>
      <c r="AZ44" t="s">
        <v>2209</v>
      </c>
      <c r="BA44" t="s">
        <v>341</v>
      </c>
      <c r="BB44" t="s">
        <v>338</v>
      </c>
      <c r="BC44" t="s">
        <v>1022</v>
      </c>
      <c r="BD44" t="s">
        <v>1344</v>
      </c>
      <c r="BE44" t="s">
        <v>1098</v>
      </c>
      <c r="BF44">
        <v>3</v>
      </c>
      <c r="BG44" t="s">
        <v>330</v>
      </c>
      <c r="BH44">
        <v>18</v>
      </c>
      <c r="BI44">
        <v>90</v>
      </c>
      <c r="BJ44" t="s">
        <v>322</v>
      </c>
      <c r="BK44">
        <v>0</v>
      </c>
      <c r="BL44">
        <v>1</v>
      </c>
      <c r="BM44">
        <v>2</v>
      </c>
      <c r="BN44">
        <v>10</v>
      </c>
      <c r="BO44">
        <v>0</v>
      </c>
    </row>
    <row r="45" spans="1:68">
      <c r="A45" t="s">
        <v>12</v>
      </c>
      <c r="B45" s="90" t="s">
        <v>283</v>
      </c>
      <c r="C45" t="s">
        <v>1317</v>
      </c>
      <c r="D45" t="s">
        <v>1619</v>
      </c>
      <c r="E45" s="90">
        <v>0</v>
      </c>
      <c r="F45" s="90">
        <v>0</v>
      </c>
      <c r="G45" s="90">
        <v>0</v>
      </c>
      <c r="H45" s="90">
        <v>0</v>
      </c>
      <c r="I45" s="90">
        <v>0</v>
      </c>
      <c r="J45" s="90">
        <v>0</v>
      </c>
      <c r="K45" s="90">
        <v>0</v>
      </c>
      <c r="L45" s="90">
        <v>0</v>
      </c>
      <c r="M45" s="90">
        <v>15</v>
      </c>
      <c r="N45" s="90">
        <v>0</v>
      </c>
      <c r="O45" s="90">
        <v>2</v>
      </c>
      <c r="P45" s="90">
        <v>0</v>
      </c>
      <c r="Q45" s="90" t="s">
        <v>1519</v>
      </c>
      <c r="R45" s="90" t="s">
        <v>1519</v>
      </c>
      <c r="S45" s="90" t="s">
        <v>1519</v>
      </c>
      <c r="T45" s="90" t="s">
        <v>1519</v>
      </c>
      <c r="U45" s="90" t="s">
        <v>1519</v>
      </c>
      <c r="V45" s="90" t="s">
        <v>1519</v>
      </c>
      <c r="W45" s="168" t="s">
        <v>13</v>
      </c>
      <c r="X45" s="90" t="s">
        <v>1019</v>
      </c>
      <c r="Y45" s="90" t="s">
        <v>1977</v>
      </c>
      <c r="Z45" s="90" t="s">
        <v>1977</v>
      </c>
      <c r="AA45" s="90" t="s">
        <v>1977</v>
      </c>
      <c r="AB45" s="90" t="s">
        <v>1977</v>
      </c>
      <c r="AC45" s="90" t="s">
        <v>1977</v>
      </c>
      <c r="AD45" s="242">
        <v>5</v>
      </c>
      <c r="AE45" s="242">
        <v>5</v>
      </c>
      <c r="AF45" s="90" t="s">
        <v>1977</v>
      </c>
      <c r="AG45" s="90" t="s">
        <v>1977</v>
      </c>
      <c r="AH45" s="90" t="s">
        <v>1977</v>
      </c>
      <c r="AI45" s="90" t="s">
        <v>1977</v>
      </c>
      <c r="AJ45" s="90" t="s">
        <v>1977</v>
      </c>
      <c r="AK45" s="90" t="s">
        <v>1977</v>
      </c>
      <c r="AL45" s="90" t="s">
        <v>1977</v>
      </c>
      <c r="AM45" s="90" t="s">
        <v>1977</v>
      </c>
      <c r="AN45" s="90" t="s">
        <v>1977</v>
      </c>
      <c r="AO45" s="90" t="s">
        <v>1977</v>
      </c>
      <c r="AP45" s="90" t="s">
        <v>1977</v>
      </c>
      <c r="AQ45" s="90" t="s">
        <v>1977</v>
      </c>
      <c r="AR45" s="90" t="s">
        <v>1977</v>
      </c>
      <c r="AS45" s="90" t="s">
        <v>1977</v>
      </c>
      <c r="AT45" s="90" t="s">
        <v>1977</v>
      </c>
      <c r="AU45" s="90" t="s">
        <v>1977</v>
      </c>
      <c r="AV45" s="90" t="s">
        <v>1977</v>
      </c>
      <c r="AW45" s="90" t="s">
        <v>1977</v>
      </c>
      <c r="AX45" s="90">
        <v>65</v>
      </c>
      <c r="AY45" s="90">
        <v>0</v>
      </c>
      <c r="AZ45" t="s">
        <v>324</v>
      </c>
      <c r="BA45" t="s">
        <v>14</v>
      </c>
      <c r="BB45" t="s">
        <v>12</v>
      </c>
      <c r="BC45" t="s">
        <v>1317</v>
      </c>
      <c r="BD45" t="s">
        <v>283</v>
      </c>
      <c r="BE45" t="s">
        <v>1619</v>
      </c>
      <c r="BF45">
        <v>2</v>
      </c>
      <c r="BG45" t="s">
        <v>326</v>
      </c>
      <c r="BH45">
        <v>80</v>
      </c>
      <c r="BI45">
        <v>65</v>
      </c>
      <c r="BJ45" t="s">
        <v>1519</v>
      </c>
      <c r="BK45">
        <v>0</v>
      </c>
      <c r="BL45">
        <v>2</v>
      </c>
      <c r="BM45">
        <v>6</v>
      </c>
      <c r="BN45">
        <v>1</v>
      </c>
      <c r="BO45">
        <v>0</v>
      </c>
    </row>
    <row r="46" spans="1:68">
      <c r="A46" t="s">
        <v>710</v>
      </c>
      <c r="B46" s="90">
        <v>1</v>
      </c>
      <c r="C46" t="s">
        <v>1022</v>
      </c>
      <c r="D46" t="s">
        <v>1109</v>
      </c>
      <c r="E46" s="90">
        <f>P46</f>
        <v>4</v>
      </c>
      <c r="F46" s="90">
        <v>0</v>
      </c>
      <c r="G46" s="100">
        <v>2</v>
      </c>
      <c r="H46" s="90">
        <v>0</v>
      </c>
      <c r="I46" s="90">
        <v>0</v>
      </c>
      <c r="J46" s="90">
        <v>0</v>
      </c>
      <c r="K46" s="90">
        <v>0</v>
      </c>
      <c r="L46" s="90">
        <v>0</v>
      </c>
      <c r="M46" s="90">
        <f>IF(C46="Carnivore",15,10)</f>
        <v>15</v>
      </c>
      <c r="N46" s="100">
        <v>2</v>
      </c>
      <c r="O46" s="90">
        <v>4</v>
      </c>
      <c r="P46" s="90">
        <v>4</v>
      </c>
      <c r="Q46" s="90" t="s">
        <v>2141</v>
      </c>
      <c r="R46" s="90" t="s">
        <v>2141</v>
      </c>
      <c r="S46" s="90" t="s">
        <v>2141</v>
      </c>
      <c r="T46" s="90" t="s">
        <v>2141</v>
      </c>
      <c r="U46" s="90"/>
      <c r="V46" s="90"/>
      <c r="W46" s="219" t="s">
        <v>1989</v>
      </c>
      <c r="X46" s="90" t="s">
        <v>1514</v>
      </c>
      <c r="Y46" s="90" t="s">
        <v>1514</v>
      </c>
      <c r="Z46" s="90" t="s">
        <v>1514</v>
      </c>
      <c r="AA46" s="90" t="s">
        <v>1514</v>
      </c>
      <c r="AB46" s="90" t="s">
        <v>1977</v>
      </c>
      <c r="AC46" s="90" t="s">
        <v>1977</v>
      </c>
      <c r="AD46" s="242">
        <v>4</v>
      </c>
      <c r="AE46" s="242">
        <v>8</v>
      </c>
      <c r="AF46" s="242" t="s">
        <v>1855</v>
      </c>
      <c r="AG46" s="90" t="s">
        <v>1977</v>
      </c>
      <c r="AH46" s="90" t="s">
        <v>1977</v>
      </c>
      <c r="AI46" s="90" t="s">
        <v>1977</v>
      </c>
      <c r="AJ46" s="90" t="s">
        <v>1977</v>
      </c>
      <c r="AK46" s="90" t="s">
        <v>1977</v>
      </c>
      <c r="AL46" s="90" t="s">
        <v>1977</v>
      </c>
      <c r="AM46" s="90" t="s">
        <v>1977</v>
      </c>
      <c r="AN46" s="90" t="s">
        <v>1977</v>
      </c>
      <c r="AO46" s="90" t="s">
        <v>1977</v>
      </c>
      <c r="AP46" s="90" t="s">
        <v>1977</v>
      </c>
      <c r="AQ46" s="90" t="s">
        <v>1977</v>
      </c>
      <c r="AR46" s="90" t="s">
        <v>1977</v>
      </c>
      <c r="AS46" s="90" t="s">
        <v>1977</v>
      </c>
      <c r="AT46" s="90" t="s">
        <v>1977</v>
      </c>
      <c r="AU46" s="90" t="s">
        <v>1977</v>
      </c>
      <c r="AV46" s="90" t="s">
        <v>1977</v>
      </c>
      <c r="AW46" s="90" t="s">
        <v>1977</v>
      </c>
      <c r="AX46" s="90">
        <v>-7</v>
      </c>
      <c r="AY46" s="90">
        <f>IF(U46&gt;0,"Yes",0)</f>
        <v>0</v>
      </c>
      <c r="BA46"/>
      <c r="BE46" s="134"/>
    </row>
    <row r="47" spans="1:68">
      <c r="A47" t="s">
        <v>292</v>
      </c>
      <c r="B47" s="90" t="s">
        <v>293</v>
      </c>
      <c r="C47" t="s">
        <v>1022</v>
      </c>
      <c r="D47" t="s">
        <v>1109</v>
      </c>
      <c r="E47" s="90">
        <v>0</v>
      </c>
      <c r="F47" s="90">
        <v>0</v>
      </c>
      <c r="G47" s="90">
        <v>0</v>
      </c>
      <c r="H47" s="90">
        <v>0</v>
      </c>
      <c r="I47" s="90">
        <v>0</v>
      </c>
      <c r="J47" s="90">
        <v>0</v>
      </c>
      <c r="K47" s="90">
        <v>0</v>
      </c>
      <c r="L47" s="90">
        <v>0</v>
      </c>
      <c r="M47" s="90">
        <v>15</v>
      </c>
      <c r="N47" s="90">
        <v>0</v>
      </c>
      <c r="O47" s="90">
        <v>2</v>
      </c>
      <c r="P47" s="90">
        <v>-10</v>
      </c>
      <c r="Q47" s="90" t="s">
        <v>322</v>
      </c>
      <c r="R47" s="90" t="s">
        <v>322</v>
      </c>
      <c r="S47" s="90" t="s">
        <v>322</v>
      </c>
      <c r="T47" s="90" t="s">
        <v>322</v>
      </c>
      <c r="U47" s="90" t="s">
        <v>322</v>
      </c>
      <c r="V47" s="90" t="s">
        <v>322</v>
      </c>
      <c r="W47" s="168" t="s">
        <v>294</v>
      </c>
      <c r="X47" s="90" t="s">
        <v>2137</v>
      </c>
      <c r="Y47" s="90" t="s">
        <v>2137</v>
      </c>
      <c r="Z47" s="90" t="s">
        <v>1977</v>
      </c>
      <c r="AA47" s="90" t="s">
        <v>1977</v>
      </c>
      <c r="AB47" s="90" t="s">
        <v>1977</v>
      </c>
      <c r="AC47" s="90" t="s">
        <v>1977</v>
      </c>
      <c r="AD47" s="242">
        <v>10</v>
      </c>
      <c r="AE47" s="242">
        <v>10</v>
      </c>
      <c r="AF47" s="90" t="s">
        <v>1977</v>
      </c>
      <c r="AG47" s="90" t="s">
        <v>1977</v>
      </c>
      <c r="AH47" s="242" t="s">
        <v>2368</v>
      </c>
      <c r="AI47" s="90" t="s">
        <v>1977</v>
      </c>
      <c r="AJ47" s="90" t="s">
        <v>1977</v>
      </c>
      <c r="AK47" s="90" t="s">
        <v>1977</v>
      </c>
      <c r="AL47" s="90" t="s">
        <v>1977</v>
      </c>
      <c r="AM47" s="90" t="s">
        <v>1977</v>
      </c>
      <c r="AN47" s="90" t="s">
        <v>1977</v>
      </c>
      <c r="AO47" s="90" t="s">
        <v>1977</v>
      </c>
      <c r="AP47" s="90" t="s">
        <v>1977</v>
      </c>
      <c r="AQ47" s="90" t="s">
        <v>1977</v>
      </c>
      <c r="AR47" s="90" t="s">
        <v>1977</v>
      </c>
      <c r="AS47" s="90" t="s">
        <v>1977</v>
      </c>
      <c r="AT47" s="90" t="s">
        <v>1977</v>
      </c>
      <c r="AU47" s="90" t="s">
        <v>1977</v>
      </c>
      <c r="AV47" s="90" t="s">
        <v>1977</v>
      </c>
      <c r="AW47" s="90" t="s">
        <v>1977</v>
      </c>
      <c r="AX47" s="90">
        <v>80</v>
      </c>
      <c r="AY47" s="90">
        <v>0</v>
      </c>
      <c r="AZ47" t="s">
        <v>344</v>
      </c>
      <c r="BA47" t="s">
        <v>2498</v>
      </c>
      <c r="BB47" t="s">
        <v>292</v>
      </c>
      <c r="BC47" t="s">
        <v>1022</v>
      </c>
      <c r="BD47" t="s">
        <v>293</v>
      </c>
      <c r="BE47" t="s">
        <v>1109</v>
      </c>
      <c r="BF47">
        <v>2</v>
      </c>
      <c r="BG47" t="s">
        <v>330</v>
      </c>
      <c r="BH47">
        <v>0.5</v>
      </c>
      <c r="BI47">
        <v>80</v>
      </c>
      <c r="BJ47" t="s">
        <v>322</v>
      </c>
      <c r="BK47">
        <v>-5</v>
      </c>
      <c r="BL47">
        <v>1</v>
      </c>
      <c r="BM47">
        <v>1</v>
      </c>
      <c r="BN47">
        <v>1</v>
      </c>
      <c r="BO47">
        <v>0</v>
      </c>
    </row>
    <row r="48" spans="1:68">
      <c r="A48" t="s">
        <v>132</v>
      </c>
      <c r="B48" s="90" t="s">
        <v>133</v>
      </c>
      <c r="C48" t="s">
        <v>1317</v>
      </c>
      <c r="D48" t="s">
        <v>1619</v>
      </c>
      <c r="E48" s="90">
        <v>0</v>
      </c>
      <c r="F48" s="90">
        <v>0</v>
      </c>
      <c r="G48" s="90">
        <v>0</v>
      </c>
      <c r="H48" s="90">
        <v>0</v>
      </c>
      <c r="I48" s="90">
        <v>0</v>
      </c>
      <c r="J48" s="90">
        <v>0</v>
      </c>
      <c r="K48" s="90">
        <v>0</v>
      </c>
      <c r="L48" s="90">
        <v>0</v>
      </c>
      <c r="M48" s="90">
        <v>15</v>
      </c>
      <c r="N48" s="90">
        <v>0</v>
      </c>
      <c r="O48" s="90">
        <v>2</v>
      </c>
      <c r="P48" s="90">
        <v>-9</v>
      </c>
      <c r="Q48" s="90" t="s">
        <v>322</v>
      </c>
      <c r="R48" s="90" t="s">
        <v>322</v>
      </c>
      <c r="S48" s="90" t="s">
        <v>322</v>
      </c>
      <c r="T48" s="90" t="s">
        <v>322</v>
      </c>
      <c r="U48" s="90" t="s">
        <v>322</v>
      </c>
      <c r="V48" s="90" t="s">
        <v>322</v>
      </c>
      <c r="W48" s="168" t="s">
        <v>120</v>
      </c>
      <c r="X48" s="90" t="s">
        <v>1514</v>
      </c>
      <c r="Y48" s="90" t="s">
        <v>1977</v>
      </c>
      <c r="Z48" s="90" t="s">
        <v>1977</v>
      </c>
      <c r="AA48" s="90" t="s">
        <v>1977</v>
      </c>
      <c r="AB48" s="90" t="s">
        <v>1977</v>
      </c>
      <c r="AC48" s="90" t="s">
        <v>1977</v>
      </c>
      <c r="AD48" s="242">
        <v>5</v>
      </c>
      <c r="AE48" s="242">
        <v>5</v>
      </c>
      <c r="AF48" s="90" t="s">
        <v>1977</v>
      </c>
      <c r="AG48" s="90" t="s">
        <v>1977</v>
      </c>
      <c r="AH48" s="90" t="s">
        <v>1977</v>
      </c>
      <c r="AI48" s="90" t="s">
        <v>1977</v>
      </c>
      <c r="AJ48" s="90" t="s">
        <v>1977</v>
      </c>
      <c r="AK48" s="90" t="s">
        <v>1977</v>
      </c>
      <c r="AL48" s="90" t="s">
        <v>1977</v>
      </c>
      <c r="AM48" s="90" t="s">
        <v>1977</v>
      </c>
      <c r="AN48" s="90" t="s">
        <v>1977</v>
      </c>
      <c r="AO48" s="90" t="s">
        <v>1977</v>
      </c>
      <c r="AP48" s="90" t="s">
        <v>1977</v>
      </c>
      <c r="AQ48" s="90" t="s">
        <v>1977</v>
      </c>
      <c r="AR48" s="90" t="s">
        <v>1977</v>
      </c>
      <c r="AS48" s="90" t="s">
        <v>1977</v>
      </c>
      <c r="AT48" s="90" t="s">
        <v>1977</v>
      </c>
      <c r="AU48" s="90" t="s">
        <v>1977</v>
      </c>
      <c r="AV48" s="90" t="s">
        <v>1977</v>
      </c>
      <c r="AW48" s="90" t="s">
        <v>1977</v>
      </c>
      <c r="AX48" s="90">
        <v>90</v>
      </c>
      <c r="AY48" s="90" t="s">
        <v>1876</v>
      </c>
      <c r="AZ48" t="s">
        <v>324</v>
      </c>
      <c r="BA48" t="s">
        <v>121</v>
      </c>
      <c r="BB48" t="s">
        <v>122</v>
      </c>
      <c r="BC48" t="s">
        <v>1317</v>
      </c>
      <c r="BD48" t="s">
        <v>133</v>
      </c>
      <c r="BE48" t="s">
        <v>1619</v>
      </c>
      <c r="BF48">
        <v>2</v>
      </c>
      <c r="BG48" t="s">
        <v>326</v>
      </c>
      <c r="BH48">
        <v>2</v>
      </c>
      <c r="BI48">
        <v>90</v>
      </c>
      <c r="BJ48" t="s">
        <v>322</v>
      </c>
      <c r="BK48">
        <v>-4</v>
      </c>
      <c r="BL48">
        <v>2</v>
      </c>
      <c r="BM48">
        <v>4</v>
      </c>
      <c r="BN48">
        <v>0</v>
      </c>
      <c r="BO48">
        <v>0</v>
      </c>
      <c r="BP48" t="s">
        <v>1876</v>
      </c>
    </row>
    <row r="49" spans="1:68">
      <c r="A49" t="s">
        <v>2282</v>
      </c>
      <c r="B49" s="90" t="s">
        <v>2344</v>
      </c>
      <c r="C49" t="s">
        <v>1022</v>
      </c>
      <c r="D49" t="s">
        <v>1098</v>
      </c>
      <c r="E49" s="90">
        <f>P49</f>
        <v>4</v>
      </c>
      <c r="F49" s="90">
        <v>0</v>
      </c>
      <c r="G49" s="90">
        <v>-2</v>
      </c>
      <c r="H49" s="90">
        <v>0</v>
      </c>
      <c r="I49" s="90">
        <v>0</v>
      </c>
      <c r="J49" s="90">
        <v>0</v>
      </c>
      <c r="K49" s="90">
        <v>0</v>
      </c>
      <c r="L49" s="90">
        <v>0</v>
      </c>
      <c r="M49" s="90">
        <f>IF(C49="Carnivore",15,10)</f>
        <v>15</v>
      </c>
      <c r="N49" s="90">
        <v>-2</v>
      </c>
      <c r="O49" s="90">
        <v>4</v>
      </c>
      <c r="P49" s="90">
        <v>4</v>
      </c>
      <c r="Q49" s="90" t="s">
        <v>1943</v>
      </c>
      <c r="R49" s="90" t="s">
        <v>1943</v>
      </c>
      <c r="S49" s="90" t="s">
        <v>1943</v>
      </c>
      <c r="T49" s="90" t="s">
        <v>1943</v>
      </c>
      <c r="U49" s="90" t="s">
        <v>1943</v>
      </c>
      <c r="V49" s="90"/>
      <c r="W49" s="168" t="s">
        <v>1850</v>
      </c>
      <c r="X49" s="90" t="s">
        <v>2278</v>
      </c>
      <c r="Y49" s="90" t="s">
        <v>1514</v>
      </c>
      <c r="Z49" s="90" t="s">
        <v>1977</v>
      </c>
      <c r="AA49" s="90" t="s">
        <v>1977</v>
      </c>
      <c r="AB49" s="90" t="s">
        <v>1977</v>
      </c>
      <c r="AC49" s="90" t="s">
        <v>1977</v>
      </c>
      <c r="AD49" s="242">
        <v>8</v>
      </c>
      <c r="AE49" s="242">
        <v>9</v>
      </c>
      <c r="AF49" s="90" t="s">
        <v>1977</v>
      </c>
      <c r="AG49" s="90" t="s">
        <v>1977</v>
      </c>
      <c r="AH49" s="90" t="s">
        <v>1977</v>
      </c>
      <c r="AI49" s="90" t="s">
        <v>1977</v>
      </c>
      <c r="AJ49" s="90" t="s">
        <v>1977</v>
      </c>
      <c r="AK49" s="90" t="s">
        <v>1977</v>
      </c>
      <c r="AL49" s="90" t="s">
        <v>1977</v>
      </c>
      <c r="AM49" s="90" t="s">
        <v>1977</v>
      </c>
      <c r="AN49" s="90" t="s">
        <v>1977</v>
      </c>
      <c r="AO49" s="90" t="s">
        <v>1977</v>
      </c>
      <c r="AP49" s="90" t="s">
        <v>1977</v>
      </c>
      <c r="AQ49" s="90" t="s">
        <v>1977</v>
      </c>
      <c r="AR49" s="90" t="s">
        <v>1977</v>
      </c>
      <c r="AS49" s="90" t="s">
        <v>1977</v>
      </c>
      <c r="AT49" s="90" t="s">
        <v>1977</v>
      </c>
      <c r="AU49" s="90" t="s">
        <v>1977</v>
      </c>
      <c r="AV49" s="90" t="s">
        <v>1977</v>
      </c>
      <c r="AW49" s="90" t="s">
        <v>1977</v>
      </c>
      <c r="AX49" s="90">
        <v>10</v>
      </c>
      <c r="AY49" s="90" t="str">
        <f>IF(U49&gt;0,"Yes",0)</f>
        <v>Yes</v>
      </c>
      <c r="BA49"/>
    </row>
    <row r="50" spans="1:68">
      <c r="A50" t="s">
        <v>119</v>
      </c>
      <c r="B50" s="90" t="s">
        <v>310</v>
      </c>
      <c r="C50" t="s">
        <v>1317</v>
      </c>
      <c r="D50" t="s">
        <v>1619</v>
      </c>
      <c r="E50" s="90">
        <v>0</v>
      </c>
      <c r="F50" s="90">
        <v>0</v>
      </c>
      <c r="G50" s="90">
        <v>0</v>
      </c>
      <c r="H50" s="90">
        <v>0</v>
      </c>
      <c r="I50" s="90">
        <v>0</v>
      </c>
      <c r="J50" s="90">
        <v>0</v>
      </c>
      <c r="K50" s="90">
        <v>0</v>
      </c>
      <c r="L50" s="90">
        <v>0</v>
      </c>
      <c r="M50" s="90">
        <v>15</v>
      </c>
      <c r="N50" s="90">
        <v>0</v>
      </c>
      <c r="O50" s="90">
        <v>0</v>
      </c>
      <c r="P50" s="90">
        <v>-11</v>
      </c>
      <c r="Q50" s="90" t="s">
        <v>1510</v>
      </c>
      <c r="R50" s="90" t="s">
        <v>1510</v>
      </c>
      <c r="S50" s="90" t="s">
        <v>1510</v>
      </c>
      <c r="T50" s="90" t="s">
        <v>1510</v>
      </c>
      <c r="U50" s="90" t="s">
        <v>1510</v>
      </c>
      <c r="V50" s="90" t="s">
        <v>1510</v>
      </c>
      <c r="W50" s="168" t="s">
        <v>112</v>
      </c>
      <c r="X50" s="90" t="s">
        <v>1514</v>
      </c>
      <c r="Y50" s="90" t="s">
        <v>1977</v>
      </c>
      <c r="Z50" s="90" t="s">
        <v>1977</v>
      </c>
      <c r="AA50" s="90" t="s">
        <v>1977</v>
      </c>
      <c r="AB50" s="90" t="s">
        <v>1977</v>
      </c>
      <c r="AC50" s="90" t="s">
        <v>1977</v>
      </c>
      <c r="AD50" s="242">
        <v>5</v>
      </c>
      <c r="AE50" s="242">
        <v>5</v>
      </c>
      <c r="AF50" s="90" t="s">
        <v>1977</v>
      </c>
      <c r="AG50" s="90" t="s">
        <v>1977</v>
      </c>
      <c r="AH50" s="90" t="s">
        <v>1977</v>
      </c>
      <c r="AI50" s="90" t="s">
        <v>1977</v>
      </c>
      <c r="AJ50" s="90" t="s">
        <v>1977</v>
      </c>
      <c r="AK50" s="90" t="s">
        <v>1977</v>
      </c>
      <c r="AL50" s="90" t="s">
        <v>1977</v>
      </c>
      <c r="AM50" s="90" t="s">
        <v>1977</v>
      </c>
      <c r="AN50" s="90" t="s">
        <v>1977</v>
      </c>
      <c r="AO50" s="90" t="s">
        <v>1977</v>
      </c>
      <c r="AP50" s="90" t="s">
        <v>1977</v>
      </c>
      <c r="AQ50" s="90" t="s">
        <v>1977</v>
      </c>
      <c r="AR50" s="90" t="s">
        <v>1977</v>
      </c>
      <c r="AS50" s="90" t="s">
        <v>1977</v>
      </c>
      <c r="AT50" s="90" t="s">
        <v>1977</v>
      </c>
      <c r="AU50" s="90" t="s">
        <v>1977</v>
      </c>
      <c r="AV50" s="90" t="s">
        <v>1977</v>
      </c>
      <c r="AW50" s="90" t="s">
        <v>1977</v>
      </c>
      <c r="AX50" s="90">
        <v>1</v>
      </c>
      <c r="AY50" s="90" t="s">
        <v>1876</v>
      </c>
      <c r="AZ50" t="s">
        <v>324</v>
      </c>
      <c r="BA50" t="s">
        <v>113</v>
      </c>
      <c r="BB50" t="s">
        <v>119</v>
      </c>
      <c r="BC50" t="s">
        <v>1317</v>
      </c>
      <c r="BD50" t="s">
        <v>310</v>
      </c>
      <c r="BE50" t="s">
        <v>1619</v>
      </c>
      <c r="BF50">
        <v>0</v>
      </c>
      <c r="BG50" t="s">
        <v>326</v>
      </c>
      <c r="BH50">
        <v>1E-3</v>
      </c>
      <c r="BI50">
        <v>1</v>
      </c>
      <c r="BJ50" t="s">
        <v>1510</v>
      </c>
      <c r="BK50">
        <v>-8</v>
      </c>
      <c r="BL50">
        <v>0</v>
      </c>
      <c r="BM50">
        <v>1</v>
      </c>
      <c r="BN50">
        <v>0</v>
      </c>
      <c r="BO50">
        <v>0</v>
      </c>
      <c r="BP50" t="s">
        <v>1876</v>
      </c>
    </row>
    <row r="51" spans="1:68">
      <c r="A51" t="s">
        <v>80</v>
      </c>
      <c r="B51" s="90" t="s">
        <v>1000</v>
      </c>
      <c r="C51" t="s">
        <v>1022</v>
      </c>
      <c r="D51" t="s">
        <v>1098</v>
      </c>
      <c r="E51" s="90">
        <v>0</v>
      </c>
      <c r="F51" s="90">
        <v>0</v>
      </c>
      <c r="G51" s="90">
        <v>0</v>
      </c>
      <c r="H51" s="90">
        <v>0</v>
      </c>
      <c r="I51" s="90">
        <v>0</v>
      </c>
      <c r="J51" s="90">
        <v>0</v>
      </c>
      <c r="K51" s="90">
        <v>0</v>
      </c>
      <c r="L51" s="90">
        <v>0</v>
      </c>
      <c r="M51" s="90">
        <v>15</v>
      </c>
      <c r="N51" s="90">
        <v>0</v>
      </c>
      <c r="O51" s="90">
        <v>6</v>
      </c>
      <c r="P51" s="90">
        <v>-3</v>
      </c>
      <c r="Q51" s="90" t="s">
        <v>322</v>
      </c>
      <c r="R51" s="90" t="s">
        <v>322</v>
      </c>
      <c r="S51" s="90" t="s">
        <v>322</v>
      </c>
      <c r="T51" s="90" t="s">
        <v>322</v>
      </c>
      <c r="U51" s="90" t="s">
        <v>322</v>
      </c>
      <c r="V51" s="90" t="s">
        <v>322</v>
      </c>
      <c r="W51" s="168" t="s">
        <v>81</v>
      </c>
      <c r="X51" s="90" t="s">
        <v>1514</v>
      </c>
      <c r="Y51" s="90" t="s">
        <v>1977</v>
      </c>
      <c r="Z51" s="90" t="s">
        <v>1977</v>
      </c>
      <c r="AA51" s="90" t="s">
        <v>1977</v>
      </c>
      <c r="AB51" s="90" t="s">
        <v>1977</v>
      </c>
      <c r="AC51" s="90" t="s">
        <v>1977</v>
      </c>
      <c r="AD51" s="242">
        <v>10</v>
      </c>
      <c r="AE51" s="242">
        <v>10</v>
      </c>
      <c r="AF51" s="90" t="s">
        <v>1977</v>
      </c>
      <c r="AG51" s="90" t="s">
        <v>1977</v>
      </c>
      <c r="AH51" s="90" t="s">
        <v>1977</v>
      </c>
      <c r="AI51" s="90" t="s">
        <v>1977</v>
      </c>
      <c r="AJ51" s="90" t="s">
        <v>1977</v>
      </c>
      <c r="AK51" s="90" t="s">
        <v>1977</v>
      </c>
      <c r="AL51" s="90" t="s">
        <v>1977</v>
      </c>
      <c r="AM51" s="90" t="s">
        <v>1977</v>
      </c>
      <c r="AN51" s="90" t="s">
        <v>1977</v>
      </c>
      <c r="AO51" s="90" t="s">
        <v>1977</v>
      </c>
      <c r="AP51" s="90" t="s">
        <v>1977</v>
      </c>
      <c r="AQ51" s="90" t="s">
        <v>1977</v>
      </c>
      <c r="AR51" s="90" t="s">
        <v>1977</v>
      </c>
      <c r="AS51" s="90" t="s">
        <v>1977</v>
      </c>
      <c r="AT51" s="90" t="s">
        <v>1977</v>
      </c>
      <c r="AU51" s="90" t="s">
        <v>1977</v>
      </c>
      <c r="AV51" s="90" t="s">
        <v>1977</v>
      </c>
      <c r="AW51" s="90" t="s">
        <v>1977</v>
      </c>
      <c r="AX51" s="90">
        <v>110</v>
      </c>
      <c r="AY51" s="90">
        <v>0</v>
      </c>
      <c r="AZ51" t="s">
        <v>91</v>
      </c>
      <c r="BA51" t="s">
        <v>79</v>
      </c>
      <c r="BB51" t="s">
        <v>80</v>
      </c>
      <c r="BC51" t="s">
        <v>1022</v>
      </c>
      <c r="BD51" t="s">
        <v>1000</v>
      </c>
      <c r="BE51" t="s">
        <v>1098</v>
      </c>
      <c r="BF51">
        <v>6</v>
      </c>
      <c r="BG51" t="s">
        <v>330</v>
      </c>
      <c r="BH51">
        <v>40</v>
      </c>
      <c r="BI51">
        <v>110</v>
      </c>
      <c r="BJ51" t="s">
        <v>322</v>
      </c>
      <c r="BK51">
        <v>0</v>
      </c>
      <c r="BL51">
        <v>2</v>
      </c>
      <c r="BM51">
        <v>5</v>
      </c>
      <c r="BN51">
        <v>1</v>
      </c>
      <c r="BO51">
        <v>0</v>
      </c>
    </row>
    <row r="52" spans="1:68">
      <c r="A52" t="s">
        <v>82</v>
      </c>
      <c r="B52" s="90" t="s">
        <v>128</v>
      </c>
      <c r="C52" t="s">
        <v>1317</v>
      </c>
      <c r="D52" t="s">
        <v>1619</v>
      </c>
      <c r="E52" s="90">
        <v>0</v>
      </c>
      <c r="F52" s="90">
        <v>0</v>
      </c>
      <c r="G52" s="90">
        <v>0</v>
      </c>
      <c r="H52" s="90">
        <v>0</v>
      </c>
      <c r="I52" s="90">
        <v>0</v>
      </c>
      <c r="J52" s="90">
        <v>0</v>
      </c>
      <c r="K52" s="90">
        <v>0</v>
      </c>
      <c r="L52" s="90">
        <v>0</v>
      </c>
      <c r="M52" s="90">
        <v>15</v>
      </c>
      <c r="N52" s="90">
        <v>0</v>
      </c>
      <c r="O52" s="90">
        <v>2</v>
      </c>
      <c r="P52" s="90">
        <v>3</v>
      </c>
      <c r="Q52" s="90" t="s">
        <v>1943</v>
      </c>
      <c r="R52" s="90" t="s">
        <v>1943</v>
      </c>
      <c r="S52" s="90" t="s">
        <v>1943</v>
      </c>
      <c r="T52" s="90" t="s">
        <v>1943</v>
      </c>
      <c r="U52" s="90" t="s">
        <v>1943</v>
      </c>
      <c r="V52" s="90" t="s">
        <v>1943</v>
      </c>
      <c r="W52" s="168" t="s">
        <v>73</v>
      </c>
      <c r="X52" s="90" t="s">
        <v>1260</v>
      </c>
      <c r="Y52" s="90" t="s">
        <v>1514</v>
      </c>
      <c r="Z52" s="90" t="s">
        <v>1977</v>
      </c>
      <c r="AA52" s="90" t="s">
        <v>1977</v>
      </c>
      <c r="AB52" s="90" t="s">
        <v>1977</v>
      </c>
      <c r="AC52" s="90" t="s">
        <v>1977</v>
      </c>
      <c r="AD52" s="242">
        <v>5</v>
      </c>
      <c r="AE52" s="242">
        <v>5</v>
      </c>
      <c r="AF52" s="90" t="s">
        <v>1977</v>
      </c>
      <c r="AG52" s="90" t="s">
        <v>1977</v>
      </c>
      <c r="AH52" s="90" t="s">
        <v>1977</v>
      </c>
      <c r="AI52" s="90" t="s">
        <v>1977</v>
      </c>
      <c r="AJ52" s="90" t="s">
        <v>1977</v>
      </c>
      <c r="AK52" s="90" t="s">
        <v>1977</v>
      </c>
      <c r="AL52" s="90" t="s">
        <v>1977</v>
      </c>
      <c r="AM52" s="90" t="s">
        <v>1977</v>
      </c>
      <c r="AN52" s="90" t="s">
        <v>1977</v>
      </c>
      <c r="AO52" s="90" t="s">
        <v>1977</v>
      </c>
      <c r="AP52" s="90" t="s">
        <v>1977</v>
      </c>
      <c r="AQ52" s="90" t="s">
        <v>1977</v>
      </c>
      <c r="AR52" s="90" t="s">
        <v>1977</v>
      </c>
      <c r="AS52" s="90" t="s">
        <v>1977</v>
      </c>
      <c r="AT52" s="90" t="s">
        <v>1977</v>
      </c>
      <c r="AU52" s="90" t="s">
        <v>1977</v>
      </c>
      <c r="AV52" s="90" t="s">
        <v>1977</v>
      </c>
      <c r="AW52" s="90" t="s">
        <v>1977</v>
      </c>
      <c r="AX52" s="90">
        <v>70</v>
      </c>
      <c r="AY52" s="90">
        <v>0</v>
      </c>
      <c r="AZ52" t="s">
        <v>91</v>
      </c>
      <c r="BA52" t="s">
        <v>79</v>
      </c>
      <c r="BB52" t="s">
        <v>82</v>
      </c>
      <c r="BC52" t="s">
        <v>1317</v>
      </c>
      <c r="BD52" t="s">
        <v>128</v>
      </c>
      <c r="BE52" t="s">
        <v>1619</v>
      </c>
      <c r="BF52">
        <v>2</v>
      </c>
      <c r="BG52" t="s">
        <v>326</v>
      </c>
      <c r="BH52">
        <v>1000</v>
      </c>
      <c r="BI52">
        <v>70</v>
      </c>
      <c r="BJ52" t="s">
        <v>1943</v>
      </c>
      <c r="BK52">
        <v>0</v>
      </c>
      <c r="BL52">
        <v>8</v>
      </c>
      <c r="BM52">
        <v>12</v>
      </c>
      <c r="BN52">
        <v>10</v>
      </c>
      <c r="BO52">
        <v>0</v>
      </c>
    </row>
    <row r="53" spans="1:68">
      <c r="A53" t="s">
        <v>2169</v>
      </c>
      <c r="B53" s="90">
        <v>1</v>
      </c>
      <c r="C53" t="s">
        <v>1022</v>
      </c>
      <c r="D53" t="s">
        <v>1109</v>
      </c>
      <c r="E53" s="90">
        <f>P53</f>
        <v>4</v>
      </c>
      <c r="F53" s="90">
        <v>0</v>
      </c>
      <c r="G53" s="90">
        <v>0</v>
      </c>
      <c r="H53" s="90">
        <v>0</v>
      </c>
      <c r="I53" s="90">
        <v>0</v>
      </c>
      <c r="J53" s="90">
        <v>0</v>
      </c>
      <c r="K53" s="90">
        <v>0</v>
      </c>
      <c r="L53" s="90">
        <v>0</v>
      </c>
      <c r="M53" s="90">
        <f>IF(C53="Carnivore",15,10)</f>
        <v>15</v>
      </c>
      <c r="N53" s="90">
        <v>0</v>
      </c>
      <c r="O53" s="90">
        <v>4</v>
      </c>
      <c r="P53" s="90">
        <v>4</v>
      </c>
      <c r="Q53" s="90" t="s">
        <v>1943</v>
      </c>
      <c r="R53" s="90" t="s">
        <v>1943</v>
      </c>
      <c r="S53" s="90" t="s">
        <v>1943</v>
      </c>
      <c r="T53" s="90" t="s">
        <v>1943</v>
      </c>
      <c r="U53" s="90"/>
      <c r="V53" s="90"/>
      <c r="W53" s="168" t="s">
        <v>1866</v>
      </c>
      <c r="X53" s="90" t="s">
        <v>2139</v>
      </c>
      <c r="Y53" s="90" t="s">
        <v>1</v>
      </c>
      <c r="Z53" s="90" t="s">
        <v>1977</v>
      </c>
      <c r="AA53" s="90" t="s">
        <v>1977</v>
      </c>
      <c r="AB53" s="90" t="s">
        <v>1977</v>
      </c>
      <c r="AC53" s="90" t="s">
        <v>1977</v>
      </c>
      <c r="AD53" s="242">
        <v>7</v>
      </c>
      <c r="AE53" s="242">
        <v>8</v>
      </c>
      <c r="AF53" s="90" t="s">
        <v>1977</v>
      </c>
      <c r="AG53" s="90" t="s">
        <v>1977</v>
      </c>
      <c r="AH53" s="90" t="s">
        <v>1977</v>
      </c>
      <c r="AI53" s="90" t="s">
        <v>1977</v>
      </c>
      <c r="AJ53" s="90" t="s">
        <v>1977</v>
      </c>
      <c r="AK53" s="90" t="s">
        <v>1977</v>
      </c>
      <c r="AL53" s="90" t="s">
        <v>1977</v>
      </c>
      <c r="AM53" s="90" t="s">
        <v>1977</v>
      </c>
      <c r="AN53" s="90" t="s">
        <v>1977</v>
      </c>
      <c r="AO53" s="90" t="s">
        <v>1977</v>
      </c>
      <c r="AP53" s="90" t="s">
        <v>1977</v>
      </c>
      <c r="AQ53" s="90" t="s">
        <v>1977</v>
      </c>
      <c r="AR53" s="90" t="s">
        <v>1977</v>
      </c>
      <c r="AS53" s="90" t="s">
        <v>1977</v>
      </c>
      <c r="AT53" s="90" t="s">
        <v>1977</v>
      </c>
      <c r="AU53" s="90" t="s">
        <v>1977</v>
      </c>
      <c r="AV53" s="90" t="s">
        <v>1977</v>
      </c>
      <c r="AW53" s="90" t="s">
        <v>1977</v>
      </c>
      <c r="AX53" s="90">
        <v>-4</v>
      </c>
      <c r="AY53" s="90">
        <f>IF(U53&gt;0,"Yes",0)</f>
        <v>0</v>
      </c>
      <c r="BA53"/>
    </row>
    <row r="54" spans="1:68">
      <c r="A54" t="s">
        <v>22</v>
      </c>
      <c r="B54" s="90" t="s">
        <v>23</v>
      </c>
      <c r="C54" t="s">
        <v>1022</v>
      </c>
      <c r="D54" t="s">
        <v>1098</v>
      </c>
      <c r="E54" s="90">
        <v>0</v>
      </c>
      <c r="F54" s="90">
        <v>0</v>
      </c>
      <c r="G54" s="90">
        <v>0</v>
      </c>
      <c r="H54" s="90">
        <v>0</v>
      </c>
      <c r="I54" s="90">
        <v>0</v>
      </c>
      <c r="J54" s="90">
        <v>0</v>
      </c>
      <c r="K54" s="90">
        <v>0</v>
      </c>
      <c r="L54" s="90">
        <v>0</v>
      </c>
      <c r="M54" s="90">
        <v>15</v>
      </c>
      <c r="N54" s="90">
        <v>0</v>
      </c>
      <c r="O54" s="90">
        <v>5</v>
      </c>
      <c r="P54" s="90">
        <v>-3</v>
      </c>
      <c r="Q54" s="90" t="s">
        <v>1510</v>
      </c>
      <c r="R54" s="90" t="s">
        <v>1510</v>
      </c>
      <c r="S54" s="90" t="s">
        <v>1510</v>
      </c>
      <c r="T54" s="90" t="s">
        <v>1510</v>
      </c>
      <c r="U54" s="90" t="s">
        <v>1510</v>
      </c>
      <c r="V54" s="90" t="s">
        <v>1510</v>
      </c>
      <c r="W54" s="168" t="s">
        <v>24</v>
      </c>
      <c r="X54" s="90" t="s">
        <v>1514</v>
      </c>
      <c r="Y54" s="90" t="s">
        <v>1977</v>
      </c>
      <c r="Z54" s="90" t="s">
        <v>1977</v>
      </c>
      <c r="AA54" s="90" t="s">
        <v>1977</v>
      </c>
      <c r="AB54" s="90" t="s">
        <v>1977</v>
      </c>
      <c r="AC54" s="90" t="s">
        <v>1977</v>
      </c>
      <c r="AD54" s="242">
        <v>15</v>
      </c>
      <c r="AE54" s="242">
        <v>15</v>
      </c>
      <c r="AF54" s="90" t="s">
        <v>1977</v>
      </c>
      <c r="AG54" s="90" t="s">
        <v>1977</v>
      </c>
      <c r="AH54" s="90" t="s">
        <v>1977</v>
      </c>
      <c r="AI54" s="90" t="s">
        <v>1977</v>
      </c>
      <c r="AJ54" s="90" t="s">
        <v>1977</v>
      </c>
      <c r="AK54" s="90" t="s">
        <v>1977</v>
      </c>
      <c r="AL54" s="90" t="s">
        <v>1977</v>
      </c>
      <c r="AM54" s="90" t="s">
        <v>1977</v>
      </c>
      <c r="AN54" s="90" t="s">
        <v>1977</v>
      </c>
      <c r="AO54" s="90" t="s">
        <v>1977</v>
      </c>
      <c r="AP54" s="90" t="s">
        <v>1977</v>
      </c>
      <c r="AQ54" s="90" t="s">
        <v>1977</v>
      </c>
      <c r="AR54" s="90" t="s">
        <v>1977</v>
      </c>
      <c r="AS54" s="90" t="s">
        <v>1977</v>
      </c>
      <c r="AT54" s="90" t="s">
        <v>1977</v>
      </c>
      <c r="AU54" s="90" t="s">
        <v>1977</v>
      </c>
      <c r="AV54" s="90" t="s">
        <v>1977</v>
      </c>
      <c r="AW54" s="90" t="s">
        <v>1977</v>
      </c>
      <c r="AX54" s="90">
        <v>40</v>
      </c>
      <c r="AY54" s="90">
        <v>0</v>
      </c>
      <c r="AZ54" t="s">
        <v>324</v>
      </c>
      <c r="BA54" t="s">
        <v>21</v>
      </c>
      <c r="BB54" t="s">
        <v>22</v>
      </c>
      <c r="BC54" t="s">
        <v>1022</v>
      </c>
      <c r="BD54" t="s">
        <v>23</v>
      </c>
      <c r="BE54" t="s">
        <v>1098</v>
      </c>
      <c r="BF54">
        <v>5</v>
      </c>
      <c r="BG54" t="s">
        <v>1384</v>
      </c>
      <c r="BH54">
        <v>60</v>
      </c>
      <c r="BI54">
        <v>40</v>
      </c>
      <c r="BJ54" t="s">
        <v>1510</v>
      </c>
      <c r="BK54">
        <v>-1</v>
      </c>
      <c r="BL54">
        <v>2</v>
      </c>
      <c r="BM54">
        <v>6</v>
      </c>
      <c r="BN54">
        <v>2</v>
      </c>
      <c r="BO54">
        <v>-2</v>
      </c>
    </row>
    <row r="55" spans="1:68">
      <c r="A55" t="s">
        <v>199</v>
      </c>
      <c r="B55" s="90" t="s">
        <v>334</v>
      </c>
      <c r="C55" t="s">
        <v>1022</v>
      </c>
      <c r="D55" t="s">
        <v>1619</v>
      </c>
      <c r="E55" s="90">
        <v>0</v>
      </c>
      <c r="F55" s="90">
        <v>0</v>
      </c>
      <c r="G55" s="90">
        <v>0</v>
      </c>
      <c r="H55" s="90">
        <v>0</v>
      </c>
      <c r="I55" s="90">
        <v>0</v>
      </c>
      <c r="J55" s="90">
        <v>0</v>
      </c>
      <c r="K55" s="90">
        <v>0</v>
      </c>
      <c r="L55" s="90">
        <v>0</v>
      </c>
      <c r="M55" s="90">
        <v>15</v>
      </c>
      <c r="N55" s="90">
        <v>0</v>
      </c>
      <c r="O55" s="90">
        <v>3</v>
      </c>
      <c r="P55" s="90">
        <v>-3</v>
      </c>
      <c r="Q55" s="90" t="s">
        <v>322</v>
      </c>
      <c r="R55" s="90" t="s">
        <v>322</v>
      </c>
      <c r="S55" s="90" t="s">
        <v>322</v>
      </c>
      <c r="T55" s="90" t="s">
        <v>322</v>
      </c>
      <c r="U55" s="90" t="s">
        <v>322</v>
      </c>
      <c r="V55" s="90" t="s">
        <v>322</v>
      </c>
      <c r="W55" s="168" t="s">
        <v>200</v>
      </c>
      <c r="X55" s="90" t="s">
        <v>1514</v>
      </c>
      <c r="Y55" s="90" t="s">
        <v>2342</v>
      </c>
      <c r="Z55" s="90" t="s">
        <v>2342</v>
      </c>
      <c r="AA55" s="90" t="s">
        <v>1977</v>
      </c>
      <c r="AB55" s="90" t="s">
        <v>1977</v>
      </c>
      <c r="AC55" s="90" t="s">
        <v>1977</v>
      </c>
      <c r="AD55" s="242">
        <v>5</v>
      </c>
      <c r="AE55" s="242">
        <v>5</v>
      </c>
      <c r="AF55" s="90" t="s">
        <v>1977</v>
      </c>
      <c r="AG55" s="90" t="s">
        <v>1977</v>
      </c>
      <c r="AH55" s="90" t="s">
        <v>1977</v>
      </c>
      <c r="AI55" s="90" t="s">
        <v>1977</v>
      </c>
      <c r="AJ55" s="90" t="s">
        <v>1977</v>
      </c>
      <c r="AK55" s="90" t="s">
        <v>1977</v>
      </c>
      <c r="AL55" s="90" t="s">
        <v>1977</v>
      </c>
      <c r="AM55" s="90" t="s">
        <v>1977</v>
      </c>
      <c r="AN55" s="90" t="s">
        <v>1977</v>
      </c>
      <c r="AO55" s="90" t="s">
        <v>1977</v>
      </c>
      <c r="AP55" s="90" t="s">
        <v>1977</v>
      </c>
      <c r="AQ55" s="90" t="s">
        <v>1977</v>
      </c>
      <c r="AR55" s="90" t="s">
        <v>1977</v>
      </c>
      <c r="AS55" s="90" t="s">
        <v>1977</v>
      </c>
      <c r="AT55" s="90" t="s">
        <v>1977</v>
      </c>
      <c r="AU55" s="90" t="s">
        <v>1977</v>
      </c>
      <c r="AV55" s="90" t="s">
        <v>1977</v>
      </c>
      <c r="AW55" s="90" t="s">
        <v>1977</v>
      </c>
      <c r="AX55" s="90">
        <v>85</v>
      </c>
      <c r="AY55" s="90">
        <v>0</v>
      </c>
      <c r="AZ55" t="s">
        <v>312</v>
      </c>
      <c r="BA55" t="s">
        <v>201</v>
      </c>
      <c r="BB55" t="s">
        <v>199</v>
      </c>
      <c r="BC55" t="s">
        <v>1022</v>
      </c>
      <c r="BD55" t="s">
        <v>334</v>
      </c>
      <c r="BE55" t="s">
        <v>1619</v>
      </c>
      <c r="BF55">
        <v>3</v>
      </c>
      <c r="BG55" t="s">
        <v>326</v>
      </c>
      <c r="BH55">
        <v>60</v>
      </c>
      <c r="BI55">
        <v>85</v>
      </c>
      <c r="BJ55" t="s">
        <v>322</v>
      </c>
      <c r="BK55">
        <v>-1</v>
      </c>
      <c r="BL55">
        <v>2</v>
      </c>
      <c r="BM55">
        <v>6</v>
      </c>
      <c r="BN55">
        <v>1</v>
      </c>
      <c r="BO55">
        <v>-1</v>
      </c>
    </row>
    <row r="56" spans="1:68">
      <c r="A56" t="s">
        <v>236</v>
      </c>
      <c r="B56" s="90" t="s">
        <v>1344</v>
      </c>
      <c r="C56" t="s">
        <v>1317</v>
      </c>
      <c r="D56" t="s">
        <v>1619</v>
      </c>
      <c r="E56" s="90">
        <v>0</v>
      </c>
      <c r="F56" s="90">
        <v>0</v>
      </c>
      <c r="G56" s="90">
        <v>0</v>
      </c>
      <c r="H56" s="90">
        <v>0</v>
      </c>
      <c r="I56" s="90">
        <v>0</v>
      </c>
      <c r="J56" s="90">
        <v>0</v>
      </c>
      <c r="K56" s="90">
        <v>0</v>
      </c>
      <c r="L56" s="90">
        <v>0</v>
      </c>
      <c r="M56" s="90">
        <v>15</v>
      </c>
      <c r="N56" s="90">
        <v>0</v>
      </c>
      <c r="O56" s="90">
        <v>4</v>
      </c>
      <c r="P56" s="90">
        <v>2</v>
      </c>
      <c r="Q56" s="90" t="s">
        <v>1943</v>
      </c>
      <c r="R56" s="90" t="s">
        <v>1943</v>
      </c>
      <c r="S56" s="90" t="s">
        <v>1943</v>
      </c>
      <c r="T56" s="90" t="s">
        <v>1943</v>
      </c>
      <c r="U56" s="90" t="s">
        <v>1943</v>
      </c>
      <c r="V56" s="90" t="s">
        <v>1943</v>
      </c>
      <c r="W56" s="168" t="s">
        <v>237</v>
      </c>
      <c r="X56" s="90" t="s">
        <v>2278</v>
      </c>
      <c r="Y56" s="90" t="s">
        <v>2278</v>
      </c>
      <c r="Z56" s="90" t="s">
        <v>1977</v>
      </c>
      <c r="AA56" s="90" t="s">
        <v>1977</v>
      </c>
      <c r="AB56" s="90" t="s">
        <v>1977</v>
      </c>
      <c r="AC56" s="90" t="s">
        <v>1977</v>
      </c>
      <c r="AD56" s="242">
        <v>10</v>
      </c>
      <c r="AE56" s="242">
        <v>10</v>
      </c>
      <c r="AF56" s="90" t="s">
        <v>1977</v>
      </c>
      <c r="AG56" s="90" t="s">
        <v>1977</v>
      </c>
      <c r="AH56" s="90" t="s">
        <v>1977</v>
      </c>
      <c r="AI56" s="90" t="s">
        <v>1977</v>
      </c>
      <c r="AJ56" s="90" t="s">
        <v>1977</v>
      </c>
      <c r="AK56" s="90" t="s">
        <v>1977</v>
      </c>
      <c r="AL56" s="90" t="s">
        <v>1977</v>
      </c>
      <c r="AM56" s="90" t="s">
        <v>1977</v>
      </c>
      <c r="AN56" s="90" t="s">
        <v>1977</v>
      </c>
      <c r="AO56" s="90" t="s">
        <v>1977</v>
      </c>
      <c r="AP56" s="90" t="s">
        <v>1977</v>
      </c>
      <c r="AQ56" s="90" t="s">
        <v>1977</v>
      </c>
      <c r="AR56" s="90" t="s">
        <v>1977</v>
      </c>
      <c r="AS56" s="90" t="s">
        <v>1977</v>
      </c>
      <c r="AT56" s="90" t="s">
        <v>1977</v>
      </c>
      <c r="AU56" s="90" t="s">
        <v>1977</v>
      </c>
      <c r="AV56" s="90" t="s">
        <v>1977</v>
      </c>
      <c r="AW56" s="90" t="s">
        <v>1977</v>
      </c>
      <c r="AX56" s="90">
        <v>70</v>
      </c>
      <c r="AY56" s="90">
        <v>0</v>
      </c>
      <c r="AZ56" t="s">
        <v>312</v>
      </c>
      <c r="BA56" t="s">
        <v>231</v>
      </c>
      <c r="BB56" t="s">
        <v>236</v>
      </c>
      <c r="BC56" t="s">
        <v>1317</v>
      </c>
      <c r="BD56" t="s">
        <v>1344</v>
      </c>
      <c r="BE56" t="s">
        <v>1619</v>
      </c>
      <c r="BF56">
        <v>4</v>
      </c>
      <c r="BG56" t="s">
        <v>330</v>
      </c>
      <c r="BH56">
        <v>200</v>
      </c>
      <c r="BI56">
        <v>70</v>
      </c>
      <c r="BJ56" t="s">
        <v>1943</v>
      </c>
      <c r="BK56">
        <v>-5</v>
      </c>
      <c r="BL56">
        <v>10</v>
      </c>
      <c r="BM56">
        <v>12</v>
      </c>
      <c r="BN56">
        <v>5</v>
      </c>
      <c r="BO56">
        <v>0</v>
      </c>
    </row>
    <row r="57" spans="1:68">
      <c r="A57" t="s">
        <v>257</v>
      </c>
      <c r="B57" s="90" t="s">
        <v>258</v>
      </c>
      <c r="C57" t="s">
        <v>1317</v>
      </c>
      <c r="D57" t="s">
        <v>1098</v>
      </c>
      <c r="E57" s="90">
        <v>0</v>
      </c>
      <c r="F57" s="90">
        <v>0</v>
      </c>
      <c r="G57" s="90">
        <v>0</v>
      </c>
      <c r="H57" s="90">
        <v>0</v>
      </c>
      <c r="I57" s="90">
        <v>0</v>
      </c>
      <c r="J57" s="90">
        <v>0</v>
      </c>
      <c r="K57" s="90">
        <v>0</v>
      </c>
      <c r="L57" s="90">
        <v>0</v>
      </c>
      <c r="M57" s="90">
        <v>15</v>
      </c>
      <c r="N57" s="90">
        <v>0</v>
      </c>
      <c r="O57" s="90">
        <v>2</v>
      </c>
      <c r="P57" s="90">
        <v>4</v>
      </c>
      <c r="Q57" s="90" t="s">
        <v>1943</v>
      </c>
      <c r="R57" s="90" t="s">
        <v>1943</v>
      </c>
      <c r="S57" s="90" t="s">
        <v>1943</v>
      </c>
      <c r="T57" s="90" t="s">
        <v>1943</v>
      </c>
      <c r="U57" s="90" t="s">
        <v>1943</v>
      </c>
      <c r="V57" s="90" t="s">
        <v>1943</v>
      </c>
      <c r="W57" s="168" t="s">
        <v>259</v>
      </c>
      <c r="X57" s="90" t="s">
        <v>1224</v>
      </c>
      <c r="Y57" s="90" t="s">
        <v>1224</v>
      </c>
      <c r="Z57" s="90" t="s">
        <v>1977</v>
      </c>
      <c r="AA57" s="90" t="s">
        <v>1977</v>
      </c>
      <c r="AB57" s="90" t="s">
        <v>1977</v>
      </c>
      <c r="AC57" s="90" t="s">
        <v>1977</v>
      </c>
      <c r="AD57" s="242">
        <v>15</v>
      </c>
      <c r="AE57" s="242">
        <v>15</v>
      </c>
      <c r="AF57" s="90" t="s">
        <v>1977</v>
      </c>
      <c r="AG57" s="90" t="s">
        <v>1977</v>
      </c>
      <c r="AH57" s="90" t="s">
        <v>1977</v>
      </c>
      <c r="AI57" s="90" t="s">
        <v>1977</v>
      </c>
      <c r="AJ57" s="90" t="s">
        <v>1977</v>
      </c>
      <c r="AK57" s="90" t="s">
        <v>1977</v>
      </c>
      <c r="AL57" s="90" t="s">
        <v>1977</v>
      </c>
      <c r="AM57" s="90" t="s">
        <v>1977</v>
      </c>
      <c r="AN57" s="90" t="s">
        <v>1977</v>
      </c>
      <c r="AO57" s="90" t="s">
        <v>1977</v>
      </c>
      <c r="AP57" s="90" t="s">
        <v>1977</v>
      </c>
      <c r="AQ57" s="90" t="s">
        <v>1977</v>
      </c>
      <c r="AR57" s="90" t="s">
        <v>1977</v>
      </c>
      <c r="AS57" s="90" t="s">
        <v>1977</v>
      </c>
      <c r="AT57" s="90" t="s">
        <v>1977</v>
      </c>
      <c r="AU57" s="90" t="s">
        <v>1977</v>
      </c>
      <c r="AV57" s="90" t="s">
        <v>1977</v>
      </c>
      <c r="AW57" s="90" t="s">
        <v>1977</v>
      </c>
      <c r="AX57" s="90">
        <v>70</v>
      </c>
      <c r="AY57" s="90">
        <v>0</v>
      </c>
      <c r="AZ57" t="s">
        <v>324</v>
      </c>
      <c r="BA57" t="s">
        <v>260</v>
      </c>
      <c r="BB57" t="s">
        <v>257</v>
      </c>
      <c r="BC57" t="s">
        <v>1317</v>
      </c>
      <c r="BD57" t="s">
        <v>258</v>
      </c>
      <c r="BE57" t="s">
        <v>1098</v>
      </c>
      <c r="BF57">
        <v>2</v>
      </c>
      <c r="BG57" t="s">
        <v>1384</v>
      </c>
      <c r="BH57">
        <v>3000</v>
      </c>
      <c r="BI57">
        <v>70</v>
      </c>
      <c r="BJ57" t="s">
        <v>1943</v>
      </c>
      <c r="BK57">
        <v>-4</v>
      </c>
      <c r="BL57">
        <v>14</v>
      </c>
      <c r="BM57">
        <v>24</v>
      </c>
      <c r="BN57">
        <v>10</v>
      </c>
      <c r="BO57">
        <v>3</v>
      </c>
    </row>
    <row r="58" spans="1:68">
      <c r="A58" t="s">
        <v>832</v>
      </c>
      <c r="B58" s="145" t="s">
        <v>965</v>
      </c>
      <c r="C58" t="s">
        <v>833</v>
      </c>
      <c r="D58" t="s">
        <v>821</v>
      </c>
      <c r="E58" s="90">
        <f>P58</f>
        <v>1</v>
      </c>
      <c r="F58" s="90">
        <v>0</v>
      </c>
      <c r="G58" s="90">
        <v>2</v>
      </c>
      <c r="H58" s="90">
        <v>6</v>
      </c>
      <c r="I58" s="90">
        <v>0</v>
      </c>
      <c r="J58" s="90">
        <v>0</v>
      </c>
      <c r="K58" s="90">
        <v>0</v>
      </c>
      <c r="L58" s="90">
        <v>0</v>
      </c>
      <c r="M58" s="90">
        <f>IF(C58="Carnivore",15,10)</f>
        <v>15</v>
      </c>
      <c r="N58" s="90">
        <v>2</v>
      </c>
      <c r="O58" s="90">
        <v>1</v>
      </c>
      <c r="P58" s="90">
        <v>1</v>
      </c>
      <c r="Q58" s="90" t="s">
        <v>1810</v>
      </c>
      <c r="R58" s="90" t="s">
        <v>1810</v>
      </c>
      <c r="S58" s="90" t="s">
        <v>1810</v>
      </c>
      <c r="T58" s="90" t="s">
        <v>1810</v>
      </c>
      <c r="U58" s="90" t="s">
        <v>1810</v>
      </c>
      <c r="V58" s="90"/>
      <c r="W58" s="90" t="s">
        <v>1147</v>
      </c>
      <c r="X58" s="90" t="s">
        <v>1152</v>
      </c>
      <c r="Y58" s="90" t="s">
        <v>1152</v>
      </c>
      <c r="Z58" s="90" t="s">
        <v>1051</v>
      </c>
      <c r="AA58" s="90" t="s">
        <v>1977</v>
      </c>
      <c r="AB58" s="90" t="s">
        <v>1977</v>
      </c>
      <c r="AC58" s="90" t="s">
        <v>1977</v>
      </c>
      <c r="AD58" s="242">
        <v>8</v>
      </c>
      <c r="AE58" s="242">
        <v>8</v>
      </c>
      <c r="AF58" s="90" t="s">
        <v>1977</v>
      </c>
      <c r="AG58" s="90" t="s">
        <v>1977</v>
      </c>
      <c r="AH58" s="90" t="s">
        <v>1977</v>
      </c>
      <c r="AI58" s="90" t="s">
        <v>1977</v>
      </c>
      <c r="AJ58" s="90" t="s">
        <v>1977</v>
      </c>
      <c r="AK58" s="90" t="s">
        <v>1977</v>
      </c>
      <c r="AL58" s="90" t="s">
        <v>1977</v>
      </c>
      <c r="AM58" s="90" t="s">
        <v>1977</v>
      </c>
      <c r="AN58" s="90" t="s">
        <v>1977</v>
      </c>
      <c r="AO58" s="90" t="s">
        <v>1977</v>
      </c>
      <c r="AP58" s="90" t="s">
        <v>1977</v>
      </c>
      <c r="AQ58" s="90" t="s">
        <v>1977</v>
      </c>
      <c r="AR58" s="90" t="s">
        <v>1977</v>
      </c>
      <c r="AS58" s="90" t="s">
        <v>1977</v>
      </c>
      <c r="AT58" s="90" t="s">
        <v>1977</v>
      </c>
      <c r="AU58" s="90" t="s">
        <v>1977</v>
      </c>
      <c r="AV58" s="90" t="s">
        <v>1977</v>
      </c>
      <c r="AW58" s="90" t="s">
        <v>1977</v>
      </c>
      <c r="AX58" s="90">
        <v>3</v>
      </c>
      <c r="AY58" s="90" t="str">
        <f>IF(U58&gt;0,"Yes",0)</f>
        <v>Yes</v>
      </c>
      <c r="BA58"/>
    </row>
    <row r="59" spans="1:68">
      <c r="A59" t="s">
        <v>202</v>
      </c>
      <c r="B59" s="90" t="s">
        <v>1000</v>
      </c>
      <c r="C59" t="s">
        <v>2277</v>
      </c>
      <c r="D59" t="s">
        <v>2003</v>
      </c>
      <c r="E59" s="90">
        <v>0</v>
      </c>
      <c r="F59" s="90">
        <v>0</v>
      </c>
      <c r="G59" s="90">
        <v>0</v>
      </c>
      <c r="H59" s="90">
        <v>0</v>
      </c>
      <c r="I59" s="90">
        <v>0</v>
      </c>
      <c r="J59" s="90">
        <v>0</v>
      </c>
      <c r="K59" s="90">
        <v>0</v>
      </c>
      <c r="L59" s="90">
        <v>0</v>
      </c>
      <c r="M59" s="90">
        <v>15</v>
      </c>
      <c r="N59" s="90">
        <v>0</v>
      </c>
      <c r="O59" s="90">
        <v>0</v>
      </c>
      <c r="P59" s="90">
        <v>-3</v>
      </c>
      <c r="Q59" s="90" t="s">
        <v>322</v>
      </c>
      <c r="R59" s="90" t="s">
        <v>322</v>
      </c>
      <c r="S59" s="90" t="s">
        <v>322</v>
      </c>
      <c r="T59" s="90" t="s">
        <v>322</v>
      </c>
      <c r="U59" s="90" t="s">
        <v>322</v>
      </c>
      <c r="V59" s="90" t="s">
        <v>322</v>
      </c>
      <c r="W59" s="168" t="s">
        <v>203</v>
      </c>
      <c r="X59" s="90" t="s">
        <v>2138</v>
      </c>
      <c r="Y59" s="90" t="s">
        <v>2278</v>
      </c>
      <c r="Z59" s="90" t="s">
        <v>2278</v>
      </c>
      <c r="AA59" s="90" t="s">
        <v>1977</v>
      </c>
      <c r="AB59" s="90" t="s">
        <v>1977</v>
      </c>
      <c r="AC59" s="90" t="s">
        <v>1977</v>
      </c>
      <c r="AD59" s="242">
        <v>10</v>
      </c>
      <c r="AE59" s="242">
        <v>10</v>
      </c>
      <c r="AF59" s="90" t="s">
        <v>1977</v>
      </c>
      <c r="AG59" s="90" t="s">
        <v>1977</v>
      </c>
      <c r="AH59" s="242" t="s">
        <v>2368</v>
      </c>
      <c r="AI59" s="90" t="s">
        <v>1977</v>
      </c>
      <c r="AJ59" s="90" t="s">
        <v>1977</v>
      </c>
      <c r="AK59" s="90" t="s">
        <v>1977</v>
      </c>
      <c r="AL59" s="90" t="s">
        <v>1977</v>
      </c>
      <c r="AM59" s="90" t="s">
        <v>1977</v>
      </c>
      <c r="AN59" s="90" t="s">
        <v>1977</v>
      </c>
      <c r="AO59" s="90" t="s">
        <v>1977</v>
      </c>
      <c r="AP59" s="90" t="s">
        <v>1977</v>
      </c>
      <c r="AQ59" s="90" t="s">
        <v>1977</v>
      </c>
      <c r="AR59" s="90" t="s">
        <v>1977</v>
      </c>
      <c r="AS59" s="90" t="s">
        <v>1977</v>
      </c>
      <c r="AT59" s="90" t="s">
        <v>1977</v>
      </c>
      <c r="AU59" s="90" t="s">
        <v>1977</v>
      </c>
      <c r="AV59" s="90" t="s">
        <v>1977</v>
      </c>
      <c r="AW59" s="90" t="s">
        <v>1977</v>
      </c>
      <c r="AX59" s="90">
        <v>220</v>
      </c>
      <c r="AY59" s="90">
        <v>0</v>
      </c>
      <c r="AZ59" t="s">
        <v>312</v>
      </c>
      <c r="BA59" t="s">
        <v>201</v>
      </c>
      <c r="BB59" t="s">
        <v>202</v>
      </c>
      <c r="BC59" t="s">
        <v>2277</v>
      </c>
      <c r="BD59" t="s">
        <v>1000</v>
      </c>
      <c r="BE59" t="s">
        <v>2003</v>
      </c>
      <c r="BG59" t="s">
        <v>330</v>
      </c>
      <c r="BH59">
        <v>40</v>
      </c>
      <c r="BI59">
        <v>220</v>
      </c>
      <c r="BJ59" t="s">
        <v>322</v>
      </c>
      <c r="BK59">
        <v>-3</v>
      </c>
      <c r="BL59">
        <v>1</v>
      </c>
      <c r="BM59">
        <v>5</v>
      </c>
      <c r="BN59">
        <v>1</v>
      </c>
      <c r="BO59">
        <v>0</v>
      </c>
    </row>
    <row r="60" spans="1:68">
      <c r="A60" t="s">
        <v>123</v>
      </c>
      <c r="B60" s="90" t="s">
        <v>271</v>
      </c>
      <c r="C60" t="s">
        <v>1022</v>
      </c>
      <c r="D60" t="s">
        <v>2003</v>
      </c>
      <c r="E60" s="90">
        <v>0</v>
      </c>
      <c r="F60" s="90">
        <v>0</v>
      </c>
      <c r="G60" s="90">
        <v>0</v>
      </c>
      <c r="H60" s="90">
        <v>0</v>
      </c>
      <c r="I60" s="90">
        <v>0</v>
      </c>
      <c r="J60" s="90">
        <v>0</v>
      </c>
      <c r="K60" s="90">
        <v>0</v>
      </c>
      <c r="L60" s="90">
        <v>0</v>
      </c>
      <c r="M60" s="90">
        <v>15</v>
      </c>
      <c r="N60" s="90">
        <v>0</v>
      </c>
      <c r="O60" s="90">
        <v>2</v>
      </c>
      <c r="P60" s="90">
        <v>-8</v>
      </c>
      <c r="Q60" s="90" t="s">
        <v>322</v>
      </c>
      <c r="R60" s="90" t="s">
        <v>322</v>
      </c>
      <c r="S60" s="90" t="s">
        <v>322</v>
      </c>
      <c r="T60" s="90" t="s">
        <v>322</v>
      </c>
      <c r="U60" s="90" t="s">
        <v>322</v>
      </c>
      <c r="V60" s="90" t="s">
        <v>322</v>
      </c>
      <c r="W60" s="168" t="s">
        <v>124</v>
      </c>
      <c r="X60" s="90" t="s">
        <v>1514</v>
      </c>
      <c r="Y60" s="90" t="s">
        <v>2278</v>
      </c>
      <c r="Z60" s="90" t="s">
        <v>2278</v>
      </c>
      <c r="AA60" s="90" t="s">
        <v>1977</v>
      </c>
      <c r="AB60" s="90" t="s">
        <v>1977</v>
      </c>
      <c r="AC60" s="90" t="s">
        <v>1977</v>
      </c>
      <c r="AD60" s="242">
        <v>10</v>
      </c>
      <c r="AE60" s="242">
        <v>10</v>
      </c>
      <c r="AF60" s="90" t="s">
        <v>1977</v>
      </c>
      <c r="AG60" s="90" t="s">
        <v>1977</v>
      </c>
      <c r="AH60" s="242" t="s">
        <v>2368</v>
      </c>
      <c r="AI60" s="90" t="s">
        <v>1977</v>
      </c>
      <c r="AJ60" s="90" t="s">
        <v>1977</v>
      </c>
      <c r="AK60" s="90" t="s">
        <v>1977</v>
      </c>
      <c r="AL60" s="90" t="s">
        <v>1977</v>
      </c>
      <c r="AM60" s="90" t="s">
        <v>1977</v>
      </c>
      <c r="AN60" s="90" t="s">
        <v>1977</v>
      </c>
      <c r="AO60" s="90" t="s">
        <v>1977</v>
      </c>
      <c r="AP60" s="90" t="s">
        <v>1977</v>
      </c>
      <c r="AQ60" s="90" t="s">
        <v>1977</v>
      </c>
      <c r="AR60" s="90" t="s">
        <v>1977</v>
      </c>
      <c r="AS60" s="90" t="s">
        <v>1977</v>
      </c>
      <c r="AT60" s="90" t="s">
        <v>1977</v>
      </c>
      <c r="AU60" s="90" t="s">
        <v>1977</v>
      </c>
      <c r="AV60" s="90" t="s">
        <v>1977</v>
      </c>
      <c r="AW60" s="90" t="s">
        <v>1977</v>
      </c>
      <c r="AX60" s="90">
        <v>90</v>
      </c>
      <c r="AY60" s="90">
        <v>0</v>
      </c>
      <c r="AZ60" t="s">
        <v>324</v>
      </c>
      <c r="BA60" t="s">
        <v>121</v>
      </c>
      <c r="BB60" t="s">
        <v>123</v>
      </c>
      <c r="BC60" t="s">
        <v>1022</v>
      </c>
      <c r="BD60" t="s">
        <v>271</v>
      </c>
      <c r="BE60" t="s">
        <v>2003</v>
      </c>
      <c r="BF60">
        <v>2</v>
      </c>
      <c r="BG60" t="s">
        <v>330</v>
      </c>
      <c r="BH60">
        <v>5</v>
      </c>
      <c r="BI60">
        <v>90</v>
      </c>
      <c r="BJ60" t="s">
        <v>322</v>
      </c>
      <c r="BK60">
        <v>-4</v>
      </c>
      <c r="BL60">
        <v>3</v>
      </c>
      <c r="BM60">
        <v>6</v>
      </c>
      <c r="BN60">
        <v>1</v>
      </c>
      <c r="BO60">
        <v>0</v>
      </c>
    </row>
    <row r="61" spans="1:68">
      <c r="A61" t="s">
        <v>2452</v>
      </c>
      <c r="B61" s="90">
        <v>1</v>
      </c>
      <c r="C61" t="s">
        <v>1022</v>
      </c>
      <c r="D61" t="s">
        <v>1109</v>
      </c>
      <c r="E61" s="90">
        <f>P61</f>
        <v>-8</v>
      </c>
      <c r="F61" s="90">
        <v>0</v>
      </c>
      <c r="G61" s="90">
        <v>2</v>
      </c>
      <c r="H61" s="90">
        <v>0</v>
      </c>
      <c r="I61" s="90">
        <v>0</v>
      </c>
      <c r="J61" s="90">
        <v>0</v>
      </c>
      <c r="K61" s="90">
        <v>0</v>
      </c>
      <c r="L61" s="90">
        <v>0</v>
      </c>
      <c r="M61" s="90">
        <f>IF(C61="Carnivore",15,10)</f>
        <v>15</v>
      </c>
      <c r="N61" s="90">
        <v>2</v>
      </c>
      <c r="O61" s="90">
        <v>-8</v>
      </c>
      <c r="P61" s="90">
        <v>-8</v>
      </c>
      <c r="Q61" s="90" t="s">
        <v>1943</v>
      </c>
      <c r="R61" s="90" t="s">
        <v>1943</v>
      </c>
      <c r="S61" s="90" t="s">
        <v>1943</v>
      </c>
      <c r="T61" s="90" t="s">
        <v>1943</v>
      </c>
      <c r="U61" s="90"/>
      <c r="V61" s="90"/>
      <c r="W61" s="168" t="s">
        <v>1812</v>
      </c>
      <c r="X61" s="90" t="s">
        <v>2139</v>
      </c>
      <c r="Y61" s="90" t="s">
        <v>2</v>
      </c>
      <c r="Z61" s="90" t="s">
        <v>1977</v>
      </c>
      <c r="AA61" s="90" t="s">
        <v>1977</v>
      </c>
      <c r="AB61" s="90" t="s">
        <v>1977</v>
      </c>
      <c r="AC61" s="90" t="s">
        <v>1977</v>
      </c>
      <c r="AD61" s="242">
        <v>7</v>
      </c>
      <c r="AE61" s="242">
        <v>8</v>
      </c>
      <c r="AF61" s="90" t="s">
        <v>1977</v>
      </c>
      <c r="AG61" s="90" t="s">
        <v>1977</v>
      </c>
      <c r="AH61" s="90" t="s">
        <v>1977</v>
      </c>
      <c r="AI61" s="90" t="s">
        <v>1977</v>
      </c>
      <c r="AJ61" s="90" t="s">
        <v>1977</v>
      </c>
      <c r="AK61" s="90" t="s">
        <v>1977</v>
      </c>
      <c r="AL61" s="90" t="s">
        <v>1977</v>
      </c>
      <c r="AM61" s="90" t="s">
        <v>1977</v>
      </c>
      <c r="AN61" s="90" t="s">
        <v>1977</v>
      </c>
      <c r="AO61" s="90" t="s">
        <v>1977</v>
      </c>
      <c r="AP61" s="90" t="s">
        <v>1977</v>
      </c>
      <c r="AQ61" s="90" t="s">
        <v>1977</v>
      </c>
      <c r="AR61" s="90" t="s">
        <v>1977</v>
      </c>
      <c r="AS61" s="90" t="s">
        <v>1977</v>
      </c>
      <c r="AT61" s="90" t="s">
        <v>1977</v>
      </c>
      <c r="AU61" s="90" t="s">
        <v>1977</v>
      </c>
      <c r="AV61" s="90" t="s">
        <v>1977</v>
      </c>
      <c r="AW61" s="90" t="s">
        <v>1977</v>
      </c>
      <c r="AX61" s="90">
        <v>6</v>
      </c>
      <c r="AY61" s="90">
        <f>IF(U61&gt;0,"Yes",0)</f>
        <v>0</v>
      </c>
      <c r="BA61"/>
    </row>
    <row r="62" spans="1:68">
      <c r="A62" t="s">
        <v>1311</v>
      </c>
      <c r="B62" s="90">
        <v>1</v>
      </c>
      <c r="C62" t="s">
        <v>1022</v>
      </c>
      <c r="D62" t="s">
        <v>1098</v>
      </c>
      <c r="E62" s="90">
        <f>P62</f>
        <v>-8</v>
      </c>
      <c r="F62" s="90">
        <v>0</v>
      </c>
      <c r="G62" s="90">
        <v>-2</v>
      </c>
      <c r="H62" s="90">
        <v>0</v>
      </c>
      <c r="I62" s="90">
        <v>0</v>
      </c>
      <c r="J62" s="90">
        <v>0</v>
      </c>
      <c r="K62" s="90">
        <v>0</v>
      </c>
      <c r="L62" s="90">
        <v>0</v>
      </c>
      <c r="M62" s="90">
        <f>IF(C62="Carnivore",15,10)</f>
        <v>15</v>
      </c>
      <c r="N62" s="90">
        <v>-2</v>
      </c>
      <c r="O62" s="90">
        <v>-8</v>
      </c>
      <c r="P62" s="90">
        <v>-8</v>
      </c>
      <c r="Q62" s="90" t="s">
        <v>2141</v>
      </c>
      <c r="R62" s="90" t="s">
        <v>2141</v>
      </c>
      <c r="S62" s="90" t="s">
        <v>2141</v>
      </c>
      <c r="T62" s="90" t="s">
        <v>2141</v>
      </c>
      <c r="U62" s="90"/>
      <c r="V62" s="90"/>
      <c r="W62" s="168" t="s">
        <v>1812</v>
      </c>
      <c r="X62" s="90" t="s">
        <v>1514</v>
      </c>
      <c r="Y62" s="90" t="s">
        <v>1977</v>
      </c>
      <c r="Z62" s="90" t="s">
        <v>1977</v>
      </c>
      <c r="AA62" s="90" t="s">
        <v>1977</v>
      </c>
      <c r="AB62" s="90" t="s">
        <v>1977</v>
      </c>
      <c r="AC62" s="90" t="s">
        <v>1977</v>
      </c>
      <c r="AD62" s="242">
        <v>5</v>
      </c>
      <c r="AE62" s="242">
        <v>6</v>
      </c>
      <c r="AF62" s="90" t="s">
        <v>1977</v>
      </c>
      <c r="AG62" s="90" t="s">
        <v>1977</v>
      </c>
      <c r="AH62" s="90" t="s">
        <v>1977</v>
      </c>
      <c r="AI62" s="90" t="s">
        <v>1977</v>
      </c>
      <c r="AJ62" s="90" t="s">
        <v>1977</v>
      </c>
      <c r="AK62" s="90" t="s">
        <v>1977</v>
      </c>
      <c r="AL62" s="90" t="s">
        <v>1977</v>
      </c>
      <c r="AM62" s="90" t="s">
        <v>1977</v>
      </c>
      <c r="AN62" s="90" t="s">
        <v>1977</v>
      </c>
      <c r="AO62" s="90" t="s">
        <v>1977</v>
      </c>
      <c r="AP62" s="90" t="s">
        <v>1977</v>
      </c>
      <c r="AQ62" s="90" t="s">
        <v>1977</v>
      </c>
      <c r="AR62" s="90" t="s">
        <v>1977</v>
      </c>
      <c r="AS62" s="90" t="s">
        <v>1977</v>
      </c>
      <c r="AT62" s="90" t="s">
        <v>1977</v>
      </c>
      <c r="AU62" s="90" t="s">
        <v>1977</v>
      </c>
      <c r="AV62" s="90" t="s">
        <v>1977</v>
      </c>
      <c r="AW62" s="90" t="s">
        <v>1977</v>
      </c>
      <c r="AX62" s="90">
        <v>-7</v>
      </c>
      <c r="AY62" s="90">
        <f>IF(U62&gt;0,"Yes",0)</f>
        <v>0</v>
      </c>
      <c r="BA62"/>
    </row>
    <row r="63" spans="1:68">
      <c r="A63" t="s">
        <v>42</v>
      </c>
      <c r="B63" s="90" t="s">
        <v>258</v>
      </c>
      <c r="C63" t="s">
        <v>1317</v>
      </c>
      <c r="D63" t="s">
        <v>1619</v>
      </c>
      <c r="E63" s="90">
        <v>0</v>
      </c>
      <c r="F63" s="90">
        <v>0</v>
      </c>
      <c r="G63" s="90">
        <v>0</v>
      </c>
      <c r="H63" s="90">
        <v>0</v>
      </c>
      <c r="I63" s="90">
        <v>0</v>
      </c>
      <c r="J63" s="90">
        <v>0</v>
      </c>
      <c r="K63" s="90">
        <v>0</v>
      </c>
      <c r="L63" s="90">
        <v>0</v>
      </c>
      <c r="M63" s="90">
        <v>15</v>
      </c>
      <c r="N63" s="90">
        <v>0</v>
      </c>
      <c r="O63" s="90">
        <v>2</v>
      </c>
      <c r="P63" s="90">
        <v>4</v>
      </c>
      <c r="Q63" s="90" t="s">
        <v>1519</v>
      </c>
      <c r="R63" s="90" t="s">
        <v>1519</v>
      </c>
      <c r="S63" s="90" t="s">
        <v>1519</v>
      </c>
      <c r="T63" s="90" t="s">
        <v>1519</v>
      </c>
      <c r="U63" s="90" t="s">
        <v>1519</v>
      </c>
      <c r="V63" s="90" t="s">
        <v>1519</v>
      </c>
      <c r="W63" s="168" t="s">
        <v>43</v>
      </c>
      <c r="X63" s="90" t="s">
        <v>1260</v>
      </c>
      <c r="Y63" s="90" t="s">
        <v>1977</v>
      </c>
      <c r="Z63" s="90" t="s">
        <v>1977</v>
      </c>
      <c r="AA63" s="90" t="s">
        <v>1977</v>
      </c>
      <c r="AB63" s="90" t="s">
        <v>1977</v>
      </c>
      <c r="AC63" s="90" t="s">
        <v>1977</v>
      </c>
      <c r="AD63" s="242">
        <v>15</v>
      </c>
      <c r="AE63" s="242">
        <v>15</v>
      </c>
      <c r="AF63" s="90" t="s">
        <v>1977</v>
      </c>
      <c r="AG63" s="90" t="s">
        <v>1977</v>
      </c>
      <c r="AH63" s="90" t="s">
        <v>1977</v>
      </c>
      <c r="AI63" s="90" t="s">
        <v>1977</v>
      </c>
      <c r="AJ63" s="90" t="s">
        <v>1977</v>
      </c>
      <c r="AK63" s="90" t="s">
        <v>1977</v>
      </c>
      <c r="AL63" s="90" t="s">
        <v>1977</v>
      </c>
      <c r="AM63" s="90" t="s">
        <v>1977</v>
      </c>
      <c r="AN63" s="90" t="s">
        <v>1977</v>
      </c>
      <c r="AO63" s="90" t="s">
        <v>1977</v>
      </c>
      <c r="AP63" s="90" t="s">
        <v>1977</v>
      </c>
      <c r="AQ63" s="90" t="s">
        <v>1977</v>
      </c>
      <c r="AR63" s="90" t="s">
        <v>1977</v>
      </c>
      <c r="AS63" s="90" t="s">
        <v>1977</v>
      </c>
      <c r="AT63" s="90" t="s">
        <v>1977</v>
      </c>
      <c r="AU63" s="90" t="s">
        <v>1977</v>
      </c>
      <c r="AV63" s="90" t="s">
        <v>1977</v>
      </c>
      <c r="AW63" s="90" t="s">
        <v>1977</v>
      </c>
      <c r="AX63" s="90">
        <v>70</v>
      </c>
      <c r="AY63" s="90">
        <v>0</v>
      </c>
      <c r="AZ63" t="s">
        <v>324</v>
      </c>
      <c r="BA63" t="s">
        <v>41</v>
      </c>
      <c r="BB63" t="s">
        <v>42</v>
      </c>
      <c r="BC63" t="s">
        <v>1317</v>
      </c>
      <c r="BD63" t="s">
        <v>258</v>
      </c>
      <c r="BE63" t="s">
        <v>1619</v>
      </c>
      <c r="BF63">
        <v>2</v>
      </c>
      <c r="BG63" t="s">
        <v>1384</v>
      </c>
      <c r="BH63">
        <v>3000</v>
      </c>
      <c r="BI63">
        <v>70</v>
      </c>
      <c r="BJ63" t="s">
        <v>1519</v>
      </c>
      <c r="BK63">
        <v>-4</v>
      </c>
      <c r="BL63">
        <v>14</v>
      </c>
      <c r="BM63">
        <v>24</v>
      </c>
      <c r="BN63">
        <v>10</v>
      </c>
      <c r="BO63">
        <v>3</v>
      </c>
    </row>
    <row r="64" spans="1:68">
      <c r="A64" t="s">
        <v>238</v>
      </c>
      <c r="B64" s="90">
        <v>1</v>
      </c>
      <c r="C64" t="s">
        <v>1022</v>
      </c>
      <c r="D64" t="s">
        <v>2003</v>
      </c>
      <c r="E64" s="90">
        <v>0</v>
      </c>
      <c r="F64" s="90">
        <v>0</v>
      </c>
      <c r="G64" s="90">
        <v>0</v>
      </c>
      <c r="H64" s="90">
        <v>0</v>
      </c>
      <c r="I64" s="90">
        <v>0</v>
      </c>
      <c r="J64" s="90">
        <v>0</v>
      </c>
      <c r="K64" s="90">
        <v>0</v>
      </c>
      <c r="L64" s="90">
        <v>0</v>
      </c>
      <c r="M64" s="90">
        <v>15</v>
      </c>
      <c r="N64" s="90">
        <v>0</v>
      </c>
      <c r="O64" s="90">
        <v>9</v>
      </c>
      <c r="P64" s="90">
        <v>1</v>
      </c>
      <c r="Q64" s="90" t="s">
        <v>1943</v>
      </c>
      <c r="R64" s="90" t="s">
        <v>1943</v>
      </c>
      <c r="S64" s="90" t="s">
        <v>1943</v>
      </c>
      <c r="T64" s="90" t="s">
        <v>1943</v>
      </c>
      <c r="U64" s="90" t="s">
        <v>1943</v>
      </c>
      <c r="V64" s="90" t="s">
        <v>1943</v>
      </c>
      <c r="W64" s="168" t="s">
        <v>239</v>
      </c>
      <c r="X64" s="90" t="s">
        <v>1514</v>
      </c>
      <c r="Y64" s="90" t="s">
        <v>1977</v>
      </c>
      <c r="Z64" s="90" t="s">
        <v>1977</v>
      </c>
      <c r="AA64" s="90" t="s">
        <v>1977</v>
      </c>
      <c r="AB64" s="90" t="s">
        <v>1977</v>
      </c>
      <c r="AC64" s="90" t="s">
        <v>1977</v>
      </c>
      <c r="AD64" s="242">
        <v>10</v>
      </c>
      <c r="AE64" s="242">
        <v>10</v>
      </c>
      <c r="AF64" s="90" t="s">
        <v>1977</v>
      </c>
      <c r="AG64" s="90" t="s">
        <v>1977</v>
      </c>
      <c r="AH64" s="90" t="s">
        <v>1977</v>
      </c>
      <c r="AI64" s="90" t="s">
        <v>1977</v>
      </c>
      <c r="AJ64" s="90" t="s">
        <v>1977</v>
      </c>
      <c r="AK64" s="90" t="s">
        <v>1977</v>
      </c>
      <c r="AL64" s="90" t="s">
        <v>1977</v>
      </c>
      <c r="AM64" s="90" t="s">
        <v>1977</v>
      </c>
      <c r="AN64" s="90" t="s">
        <v>1977</v>
      </c>
      <c r="AO64" s="90" t="s">
        <v>1977</v>
      </c>
      <c r="AP64" s="90" t="s">
        <v>1977</v>
      </c>
      <c r="AQ64" s="90" t="s">
        <v>1977</v>
      </c>
      <c r="AR64" s="90" t="s">
        <v>1977</v>
      </c>
      <c r="AS64" s="90" t="s">
        <v>1977</v>
      </c>
      <c r="AT64" s="90" t="s">
        <v>1977</v>
      </c>
      <c r="AU64" s="90" t="s">
        <v>1977</v>
      </c>
      <c r="AV64" s="90" t="s">
        <v>1977</v>
      </c>
      <c r="AW64" s="90" t="s">
        <v>1977</v>
      </c>
      <c r="AX64" s="90">
        <v>70</v>
      </c>
      <c r="AY64" s="90">
        <v>0</v>
      </c>
      <c r="AZ64" t="s">
        <v>312</v>
      </c>
      <c r="BA64" t="s">
        <v>231</v>
      </c>
      <c r="BB64" t="s">
        <v>238</v>
      </c>
      <c r="BC64" t="s">
        <v>1022</v>
      </c>
      <c r="BD64">
        <v>1</v>
      </c>
      <c r="BE64" t="s">
        <v>2003</v>
      </c>
      <c r="BF64">
        <v>9</v>
      </c>
      <c r="BG64" t="s">
        <v>330</v>
      </c>
      <c r="BH64">
        <v>100</v>
      </c>
      <c r="BI64">
        <v>70</v>
      </c>
      <c r="BJ64" t="s">
        <v>1943</v>
      </c>
      <c r="BK64">
        <v>0</v>
      </c>
      <c r="BL64">
        <v>5</v>
      </c>
      <c r="BM64">
        <v>10</v>
      </c>
      <c r="BN64">
        <v>8</v>
      </c>
      <c r="BO64">
        <v>0</v>
      </c>
    </row>
    <row r="65" spans="1:68">
      <c r="A65" t="s">
        <v>320</v>
      </c>
      <c r="B65" s="90" t="s">
        <v>321</v>
      </c>
      <c r="C65" t="s">
        <v>1317</v>
      </c>
      <c r="D65" t="s">
        <v>1619</v>
      </c>
      <c r="E65" s="90">
        <v>0</v>
      </c>
      <c r="F65" s="90">
        <v>0</v>
      </c>
      <c r="G65" s="90">
        <v>0</v>
      </c>
      <c r="H65" s="90">
        <v>0</v>
      </c>
      <c r="I65" s="90">
        <v>0</v>
      </c>
      <c r="J65" s="90">
        <v>0</v>
      </c>
      <c r="K65" s="90">
        <v>0</v>
      </c>
      <c r="L65" s="90">
        <v>0</v>
      </c>
      <c r="M65" s="90">
        <v>10</v>
      </c>
      <c r="N65" s="90">
        <v>0</v>
      </c>
      <c r="O65" s="90">
        <v>2</v>
      </c>
      <c r="P65" s="90">
        <v>-9</v>
      </c>
      <c r="Q65" s="90" t="s">
        <v>322</v>
      </c>
      <c r="R65" s="90" t="s">
        <v>322</v>
      </c>
      <c r="S65" s="90" t="s">
        <v>322</v>
      </c>
      <c r="T65" s="90" t="s">
        <v>322</v>
      </c>
      <c r="U65" s="90" t="s">
        <v>322</v>
      </c>
      <c r="V65" s="90" t="s">
        <v>322</v>
      </c>
      <c r="W65" s="168" t="s">
        <v>323</v>
      </c>
      <c r="X65" s="90" t="s">
        <v>2278</v>
      </c>
      <c r="Y65" s="90" t="s">
        <v>1514</v>
      </c>
      <c r="Z65" s="90" t="s">
        <v>1977</v>
      </c>
      <c r="AA65" s="90" t="s">
        <v>1977</v>
      </c>
      <c r="AB65" s="90" t="s">
        <v>1977</v>
      </c>
      <c r="AC65" s="90" t="s">
        <v>1977</v>
      </c>
      <c r="AD65" s="242">
        <v>5</v>
      </c>
      <c r="AE65" s="242">
        <v>5</v>
      </c>
      <c r="AF65" s="90" t="s">
        <v>1977</v>
      </c>
      <c r="AG65" s="90" t="s">
        <v>1977</v>
      </c>
      <c r="AH65" s="90" t="s">
        <v>1977</v>
      </c>
      <c r="AI65" s="90" t="s">
        <v>1977</v>
      </c>
      <c r="AJ65" s="90" t="s">
        <v>1977</v>
      </c>
      <c r="AK65" s="90" t="s">
        <v>1977</v>
      </c>
      <c r="AL65" s="90" t="s">
        <v>1977</v>
      </c>
      <c r="AM65" s="90" t="s">
        <v>1977</v>
      </c>
      <c r="AN65" s="90" t="s">
        <v>1977</v>
      </c>
      <c r="AO65" s="90" t="s">
        <v>1977</v>
      </c>
      <c r="AP65" s="90" t="s">
        <v>1977</v>
      </c>
      <c r="AQ65" s="90" t="s">
        <v>1977</v>
      </c>
      <c r="AR65" s="90" t="s">
        <v>1977</v>
      </c>
      <c r="AS65" s="90" t="s">
        <v>1977</v>
      </c>
      <c r="AT65" s="90" t="s">
        <v>1977</v>
      </c>
      <c r="AU65" s="90" t="s">
        <v>1977</v>
      </c>
      <c r="AV65" s="90" t="s">
        <v>1977</v>
      </c>
      <c r="AW65" s="90" t="s">
        <v>1977</v>
      </c>
      <c r="AX65" s="90">
        <v>100</v>
      </c>
      <c r="AY65" s="90" t="s">
        <v>1876</v>
      </c>
      <c r="AZ65" t="s">
        <v>324</v>
      </c>
      <c r="BA65" t="s">
        <v>325</v>
      </c>
      <c r="BB65" t="s">
        <v>320</v>
      </c>
      <c r="BC65" t="s">
        <v>1317</v>
      </c>
      <c r="BD65" t="s">
        <v>321</v>
      </c>
      <c r="BE65" t="s">
        <v>1619</v>
      </c>
      <c r="BF65">
        <v>2</v>
      </c>
      <c r="BG65" t="s">
        <v>326</v>
      </c>
      <c r="BH65">
        <v>1</v>
      </c>
      <c r="BI65">
        <v>100</v>
      </c>
      <c r="BJ65" t="s">
        <v>322</v>
      </c>
      <c r="BK65">
        <v>-6</v>
      </c>
      <c r="BL65">
        <v>1</v>
      </c>
      <c r="BM65">
        <v>1</v>
      </c>
      <c r="BN65">
        <v>0</v>
      </c>
      <c r="BO65" t="s">
        <v>2104</v>
      </c>
      <c r="BP65" t="s">
        <v>1876</v>
      </c>
    </row>
    <row r="66" spans="1:68">
      <c r="A66" t="s">
        <v>327</v>
      </c>
      <c r="B66" s="90" t="s">
        <v>328</v>
      </c>
      <c r="C66" t="s">
        <v>1317</v>
      </c>
      <c r="D66" t="s">
        <v>1098</v>
      </c>
      <c r="E66" s="90">
        <v>0</v>
      </c>
      <c r="F66" s="90">
        <v>0</v>
      </c>
      <c r="G66" s="90">
        <v>0</v>
      </c>
      <c r="H66" s="90">
        <v>0</v>
      </c>
      <c r="I66" s="90">
        <v>0</v>
      </c>
      <c r="J66" s="90">
        <v>0</v>
      </c>
      <c r="K66" s="90">
        <v>0</v>
      </c>
      <c r="L66" s="90">
        <v>0</v>
      </c>
      <c r="M66" s="90">
        <v>10</v>
      </c>
      <c r="N66" s="90">
        <v>0</v>
      </c>
      <c r="O66" s="90">
        <v>7</v>
      </c>
      <c r="P66" s="90">
        <v>-9</v>
      </c>
      <c r="Q66" s="90" t="s">
        <v>322</v>
      </c>
      <c r="R66" s="90" t="s">
        <v>322</v>
      </c>
      <c r="S66" s="90" t="s">
        <v>322</v>
      </c>
      <c r="T66" s="90" t="s">
        <v>322</v>
      </c>
      <c r="U66" s="90" t="s">
        <v>322</v>
      </c>
      <c r="V66" s="90" t="s">
        <v>322</v>
      </c>
      <c r="W66" s="168" t="s">
        <v>329</v>
      </c>
      <c r="X66" s="90" t="s">
        <v>2278</v>
      </c>
      <c r="Y66" s="90" t="s">
        <v>1514</v>
      </c>
      <c r="Z66" s="90" t="s">
        <v>1977</v>
      </c>
      <c r="AA66" s="90" t="s">
        <v>1977</v>
      </c>
      <c r="AB66" s="90" t="s">
        <v>1977</v>
      </c>
      <c r="AC66" s="90" t="s">
        <v>1977</v>
      </c>
      <c r="AD66" s="242">
        <v>10</v>
      </c>
      <c r="AE66" s="242">
        <v>10</v>
      </c>
      <c r="AF66" s="90" t="s">
        <v>1977</v>
      </c>
      <c r="AG66" s="90" t="s">
        <v>1977</v>
      </c>
      <c r="AH66" s="90" t="s">
        <v>1977</v>
      </c>
      <c r="AI66" s="90" t="s">
        <v>1977</v>
      </c>
      <c r="AJ66" s="90" t="s">
        <v>1977</v>
      </c>
      <c r="AK66" s="90" t="s">
        <v>1977</v>
      </c>
      <c r="AL66" s="90" t="s">
        <v>1977</v>
      </c>
      <c r="AM66" s="90" t="s">
        <v>1977</v>
      </c>
      <c r="AN66" s="90" t="s">
        <v>1977</v>
      </c>
      <c r="AO66" s="90" t="s">
        <v>1977</v>
      </c>
      <c r="AP66" s="90" t="s">
        <v>1977</v>
      </c>
      <c r="AQ66" s="90" t="s">
        <v>1977</v>
      </c>
      <c r="AR66" s="90" t="s">
        <v>1977</v>
      </c>
      <c r="AS66" s="90" t="s">
        <v>1977</v>
      </c>
      <c r="AT66" s="90" t="s">
        <v>1977</v>
      </c>
      <c r="AU66" s="90" t="s">
        <v>1977</v>
      </c>
      <c r="AV66" s="90" t="s">
        <v>1977</v>
      </c>
      <c r="AW66" s="90" t="s">
        <v>1977</v>
      </c>
      <c r="AX66" s="90">
        <v>100</v>
      </c>
      <c r="AY66" s="90" t="s">
        <v>1876</v>
      </c>
      <c r="AZ66" t="s">
        <v>324</v>
      </c>
      <c r="BA66" t="s">
        <v>325</v>
      </c>
      <c r="BB66" t="s">
        <v>327</v>
      </c>
      <c r="BC66" t="s">
        <v>1317</v>
      </c>
      <c r="BD66" t="s">
        <v>328</v>
      </c>
      <c r="BE66" t="s">
        <v>1098</v>
      </c>
      <c r="BF66">
        <v>7</v>
      </c>
      <c r="BG66" t="s">
        <v>330</v>
      </c>
      <c r="BH66">
        <v>1.5</v>
      </c>
      <c r="BI66">
        <v>100</v>
      </c>
      <c r="BJ66" t="s">
        <v>322</v>
      </c>
      <c r="BK66">
        <v>-6</v>
      </c>
      <c r="BL66">
        <v>1</v>
      </c>
      <c r="BM66">
        <v>1</v>
      </c>
      <c r="BN66">
        <v>10</v>
      </c>
      <c r="BO66" t="s">
        <v>2104</v>
      </c>
      <c r="BP66" t="s">
        <v>1876</v>
      </c>
    </row>
    <row r="67" spans="1:68">
      <c r="A67" t="s">
        <v>66</v>
      </c>
      <c r="B67" s="90">
        <v>1</v>
      </c>
      <c r="C67" t="s">
        <v>1022</v>
      </c>
      <c r="D67" t="s">
        <v>1098</v>
      </c>
      <c r="E67" s="90">
        <v>0</v>
      </c>
      <c r="F67" s="90">
        <v>0</v>
      </c>
      <c r="G67" s="90">
        <v>0</v>
      </c>
      <c r="H67" s="90">
        <v>0</v>
      </c>
      <c r="I67" s="90">
        <v>0</v>
      </c>
      <c r="J67" s="90">
        <v>0</v>
      </c>
      <c r="K67" s="90">
        <v>0</v>
      </c>
      <c r="L67" s="90">
        <v>0</v>
      </c>
      <c r="M67" s="90">
        <v>15</v>
      </c>
      <c r="N67" s="90">
        <v>0</v>
      </c>
      <c r="O67" s="90">
        <v>8</v>
      </c>
      <c r="P67" s="90">
        <v>1</v>
      </c>
      <c r="Q67" s="90" t="s">
        <v>1943</v>
      </c>
      <c r="R67" s="90" t="s">
        <v>1943</v>
      </c>
      <c r="S67" s="90" t="s">
        <v>1943</v>
      </c>
      <c r="T67" s="90" t="s">
        <v>1943</v>
      </c>
      <c r="U67" s="90" t="s">
        <v>1943</v>
      </c>
      <c r="V67" s="90" t="s">
        <v>1943</v>
      </c>
      <c r="W67" s="168" t="s">
        <v>67</v>
      </c>
      <c r="X67" s="90" t="s">
        <v>1514</v>
      </c>
      <c r="Y67" s="90" t="s">
        <v>2278</v>
      </c>
      <c r="Z67" s="90" t="s">
        <v>2278</v>
      </c>
      <c r="AA67" s="90" t="s">
        <v>1224</v>
      </c>
      <c r="AB67" s="90" t="s">
        <v>1977</v>
      </c>
      <c r="AC67" s="90" t="s">
        <v>1977</v>
      </c>
      <c r="AD67" s="242">
        <v>10</v>
      </c>
      <c r="AE67" s="242">
        <v>10</v>
      </c>
      <c r="AF67" s="242" t="s">
        <v>1855</v>
      </c>
      <c r="AG67" s="90" t="s">
        <v>1977</v>
      </c>
      <c r="AH67" s="90" t="s">
        <v>1977</v>
      </c>
      <c r="AI67" s="90" t="s">
        <v>1977</v>
      </c>
      <c r="AJ67" s="90" t="s">
        <v>1977</v>
      </c>
      <c r="AK67" s="90" t="s">
        <v>1977</v>
      </c>
      <c r="AL67" s="90" t="s">
        <v>1977</v>
      </c>
      <c r="AM67" s="90" t="s">
        <v>1977</v>
      </c>
      <c r="AN67" s="90" t="s">
        <v>1977</v>
      </c>
      <c r="AO67" s="90" t="s">
        <v>1977</v>
      </c>
      <c r="AP67" s="90" t="s">
        <v>1977</v>
      </c>
      <c r="AQ67" s="90" t="s">
        <v>1977</v>
      </c>
      <c r="AR67" s="90" t="s">
        <v>1977</v>
      </c>
      <c r="AS67" s="90" t="s">
        <v>1977</v>
      </c>
      <c r="AT67" s="90" t="s">
        <v>1977</v>
      </c>
      <c r="AU67" s="90" t="s">
        <v>1977</v>
      </c>
      <c r="AV67" s="90" t="s">
        <v>1977</v>
      </c>
      <c r="AW67" s="90" t="s">
        <v>1977</v>
      </c>
      <c r="AX67" s="90">
        <v>75</v>
      </c>
      <c r="AY67" s="90">
        <v>0</v>
      </c>
      <c r="AZ67" t="s">
        <v>91</v>
      </c>
      <c r="BA67" t="s">
        <v>65</v>
      </c>
      <c r="BB67" t="s">
        <v>66</v>
      </c>
      <c r="BC67" t="s">
        <v>1022</v>
      </c>
      <c r="BD67">
        <v>1</v>
      </c>
      <c r="BE67" t="s">
        <v>1098</v>
      </c>
      <c r="BF67">
        <v>8</v>
      </c>
      <c r="BG67" t="s">
        <v>330</v>
      </c>
      <c r="BH67">
        <v>150</v>
      </c>
      <c r="BI67">
        <v>75</v>
      </c>
      <c r="BJ67" t="s">
        <v>1943</v>
      </c>
      <c r="BK67">
        <v>0</v>
      </c>
      <c r="BL67">
        <v>5</v>
      </c>
      <c r="BM67">
        <v>2</v>
      </c>
      <c r="BN67">
        <v>4</v>
      </c>
      <c r="BO67">
        <v>0</v>
      </c>
    </row>
    <row r="68" spans="1:68">
      <c r="A68" t="s">
        <v>44</v>
      </c>
      <c r="B68" s="90" t="s">
        <v>1000</v>
      </c>
      <c r="C68" t="s">
        <v>1022</v>
      </c>
      <c r="D68" t="s">
        <v>2003</v>
      </c>
      <c r="E68" s="90">
        <v>0</v>
      </c>
      <c r="F68" s="90">
        <v>0</v>
      </c>
      <c r="G68" s="90">
        <v>0</v>
      </c>
      <c r="H68" s="90">
        <v>0</v>
      </c>
      <c r="I68" s="90">
        <v>0</v>
      </c>
      <c r="J68" s="90">
        <v>0</v>
      </c>
      <c r="K68" s="90">
        <v>0</v>
      </c>
      <c r="L68" s="90">
        <v>0</v>
      </c>
      <c r="M68" s="90">
        <v>15</v>
      </c>
      <c r="N68" s="90">
        <v>0</v>
      </c>
      <c r="O68" s="90">
        <v>6</v>
      </c>
      <c r="P68" s="90">
        <v>0</v>
      </c>
      <c r="Q68" s="90" t="s">
        <v>322</v>
      </c>
      <c r="R68" s="90" t="s">
        <v>322</v>
      </c>
      <c r="S68" s="90" t="s">
        <v>322</v>
      </c>
      <c r="T68" s="90" t="s">
        <v>322</v>
      </c>
      <c r="U68" s="90" t="s">
        <v>322</v>
      </c>
      <c r="V68" s="90" t="s">
        <v>322</v>
      </c>
      <c r="W68" s="168" t="s">
        <v>37</v>
      </c>
      <c r="X68" s="90" t="s">
        <v>2278</v>
      </c>
      <c r="Y68" s="90" t="s">
        <v>2278</v>
      </c>
      <c r="Z68" s="90" t="s">
        <v>1514</v>
      </c>
      <c r="AA68" s="90" t="s">
        <v>1977</v>
      </c>
      <c r="AB68" s="90" t="s">
        <v>1977</v>
      </c>
      <c r="AC68" s="90" t="s">
        <v>1977</v>
      </c>
      <c r="AD68" s="242">
        <v>10</v>
      </c>
      <c r="AE68" s="242">
        <v>10</v>
      </c>
      <c r="AF68" s="90" t="s">
        <v>1977</v>
      </c>
      <c r="AG68" s="90" t="s">
        <v>1977</v>
      </c>
      <c r="AH68" s="90" t="s">
        <v>1977</v>
      </c>
      <c r="AI68" s="90" t="s">
        <v>1977</v>
      </c>
      <c r="AJ68" s="90" t="s">
        <v>1977</v>
      </c>
      <c r="AK68" s="90" t="s">
        <v>1977</v>
      </c>
      <c r="AL68" s="90" t="s">
        <v>1977</v>
      </c>
      <c r="AM68" s="90" t="s">
        <v>1977</v>
      </c>
      <c r="AN68" s="90" t="s">
        <v>1977</v>
      </c>
      <c r="AO68" s="90" t="s">
        <v>1977</v>
      </c>
      <c r="AP68" s="90" t="s">
        <v>1977</v>
      </c>
      <c r="AQ68" s="90" t="s">
        <v>1977</v>
      </c>
      <c r="AR68" s="90" t="s">
        <v>1977</v>
      </c>
      <c r="AS68" s="90" t="s">
        <v>1977</v>
      </c>
      <c r="AT68" s="90" t="s">
        <v>1977</v>
      </c>
      <c r="AU68" s="90" t="s">
        <v>1977</v>
      </c>
      <c r="AV68" s="90" t="s">
        <v>1977</v>
      </c>
      <c r="AW68" s="90" t="s">
        <v>1977</v>
      </c>
      <c r="AX68" s="90">
        <v>95</v>
      </c>
      <c r="AY68" s="90">
        <v>0</v>
      </c>
      <c r="AZ68" t="s">
        <v>324</v>
      </c>
      <c r="BA68" t="s">
        <v>38</v>
      </c>
      <c r="BB68" t="s">
        <v>44</v>
      </c>
      <c r="BC68" t="s">
        <v>1022</v>
      </c>
      <c r="BD68" t="s">
        <v>1000</v>
      </c>
      <c r="BE68" t="s">
        <v>2003</v>
      </c>
      <c r="BF68">
        <v>6</v>
      </c>
      <c r="BG68" t="s">
        <v>330</v>
      </c>
      <c r="BH68">
        <v>80</v>
      </c>
      <c r="BI68">
        <v>95</v>
      </c>
      <c r="BJ68" t="s">
        <v>322</v>
      </c>
      <c r="BK68">
        <v>0</v>
      </c>
      <c r="BL68">
        <v>5</v>
      </c>
      <c r="BM68">
        <v>10</v>
      </c>
      <c r="BN68">
        <v>4</v>
      </c>
      <c r="BO68">
        <v>0</v>
      </c>
    </row>
    <row r="69" spans="1:68">
      <c r="A69" t="s">
        <v>176</v>
      </c>
      <c r="B69" s="90" t="s">
        <v>177</v>
      </c>
      <c r="C69" t="s">
        <v>1022</v>
      </c>
      <c r="D69" t="s">
        <v>1098</v>
      </c>
      <c r="E69" s="90">
        <v>0</v>
      </c>
      <c r="F69" s="90">
        <v>0</v>
      </c>
      <c r="G69" s="90">
        <v>0</v>
      </c>
      <c r="H69" s="90">
        <v>0</v>
      </c>
      <c r="I69" s="90">
        <v>0</v>
      </c>
      <c r="J69" s="90">
        <v>0</v>
      </c>
      <c r="K69" s="90">
        <v>0</v>
      </c>
      <c r="L69" s="90">
        <v>0</v>
      </c>
      <c r="M69" s="90">
        <v>15</v>
      </c>
      <c r="N69" s="90">
        <v>0</v>
      </c>
      <c r="O69" s="90">
        <v>2</v>
      </c>
      <c r="P69" s="90">
        <v>-3</v>
      </c>
      <c r="Q69" s="90" t="s">
        <v>1943</v>
      </c>
      <c r="R69" s="90" t="s">
        <v>1943</v>
      </c>
      <c r="S69" s="90" t="s">
        <v>1943</v>
      </c>
      <c r="T69" s="90" t="s">
        <v>1943</v>
      </c>
      <c r="U69" s="90" t="s">
        <v>1943</v>
      </c>
      <c r="V69" s="90" t="s">
        <v>1943</v>
      </c>
      <c r="W69" s="168" t="s">
        <v>178</v>
      </c>
      <c r="X69" s="90" t="s">
        <v>2278</v>
      </c>
      <c r="Y69" s="90" t="s">
        <v>2278</v>
      </c>
      <c r="Z69" s="90" t="s">
        <v>2136</v>
      </c>
      <c r="AA69" s="90" t="s">
        <v>1977</v>
      </c>
      <c r="AB69" s="90" t="s">
        <v>1977</v>
      </c>
      <c r="AC69" s="90" t="s">
        <v>1977</v>
      </c>
      <c r="AD69" s="242">
        <v>10</v>
      </c>
      <c r="AE69" s="242">
        <v>10</v>
      </c>
      <c r="AF69" s="90" t="s">
        <v>1977</v>
      </c>
      <c r="AG69" s="90" t="s">
        <v>1977</v>
      </c>
      <c r="AH69" s="90" t="s">
        <v>1977</v>
      </c>
      <c r="AI69" s="90" t="s">
        <v>1977</v>
      </c>
      <c r="AJ69" s="90" t="s">
        <v>1977</v>
      </c>
      <c r="AK69" s="90" t="s">
        <v>1977</v>
      </c>
      <c r="AL69" s="90" t="s">
        <v>1977</v>
      </c>
      <c r="AM69" s="90" t="s">
        <v>1977</v>
      </c>
      <c r="AN69" s="90" t="s">
        <v>1977</v>
      </c>
      <c r="AO69" s="90" t="s">
        <v>1977</v>
      </c>
      <c r="AP69" s="90" t="s">
        <v>1977</v>
      </c>
      <c r="AQ69" s="90" t="s">
        <v>1977</v>
      </c>
      <c r="AR69" s="90" t="s">
        <v>1977</v>
      </c>
      <c r="AS69" s="90" t="s">
        <v>1977</v>
      </c>
      <c r="AT69" s="90" t="s">
        <v>1977</v>
      </c>
      <c r="AU69" s="90" t="s">
        <v>1977</v>
      </c>
      <c r="AV69" s="90" t="s">
        <v>1977</v>
      </c>
      <c r="AW69" s="90" t="s">
        <v>1977</v>
      </c>
      <c r="AX69" s="90">
        <v>70</v>
      </c>
      <c r="AY69" s="90">
        <v>0</v>
      </c>
      <c r="AZ69" t="s">
        <v>179</v>
      </c>
      <c r="BA69" t="s">
        <v>180</v>
      </c>
      <c r="BB69" t="s">
        <v>176</v>
      </c>
      <c r="BC69" t="s">
        <v>1022</v>
      </c>
      <c r="BD69" t="s">
        <v>177</v>
      </c>
      <c r="BE69" t="s">
        <v>1098</v>
      </c>
      <c r="BF69">
        <v>2</v>
      </c>
      <c r="BG69" t="s">
        <v>330</v>
      </c>
      <c r="BH69">
        <v>40</v>
      </c>
      <c r="BI69">
        <v>70</v>
      </c>
      <c r="BJ69" t="s">
        <v>1943</v>
      </c>
      <c r="BK69">
        <v>0</v>
      </c>
      <c r="BL69">
        <v>4</v>
      </c>
      <c r="BM69">
        <v>8</v>
      </c>
      <c r="BN69">
        <v>1</v>
      </c>
      <c r="BO69">
        <v>0</v>
      </c>
    </row>
    <row r="70" spans="1:68">
      <c r="A70" t="s">
        <v>1313</v>
      </c>
      <c r="B70" s="90" t="s">
        <v>2344</v>
      </c>
      <c r="C70" t="s">
        <v>1022</v>
      </c>
      <c r="D70" t="s">
        <v>1098</v>
      </c>
      <c r="E70" s="90">
        <f>P70</f>
        <v>-1</v>
      </c>
      <c r="F70" s="90">
        <v>0</v>
      </c>
      <c r="G70" s="90">
        <v>-2</v>
      </c>
      <c r="H70" s="90">
        <v>0</v>
      </c>
      <c r="I70" s="90">
        <v>0</v>
      </c>
      <c r="J70" s="90">
        <v>0</v>
      </c>
      <c r="K70" s="90">
        <v>0</v>
      </c>
      <c r="L70" s="90">
        <v>0</v>
      </c>
      <c r="M70" s="90">
        <f>IF(C70="Carnivore",15,10)</f>
        <v>15</v>
      </c>
      <c r="N70" s="90">
        <v>-2</v>
      </c>
      <c r="O70" s="90">
        <v>-1</v>
      </c>
      <c r="P70" s="90">
        <v>-1</v>
      </c>
      <c r="Q70" s="90" t="s">
        <v>2141</v>
      </c>
      <c r="R70" s="90" t="s">
        <v>2141</v>
      </c>
      <c r="S70" s="90" t="s">
        <v>2141</v>
      </c>
      <c r="T70" s="90" t="s">
        <v>2141</v>
      </c>
      <c r="U70" s="90"/>
      <c r="V70" s="90"/>
      <c r="W70" s="168" t="s">
        <v>2360</v>
      </c>
      <c r="X70" s="90" t="s">
        <v>1977</v>
      </c>
      <c r="Y70" s="90" t="s">
        <v>1977</v>
      </c>
      <c r="Z70" s="90" t="s">
        <v>1977</v>
      </c>
      <c r="AA70" s="90" t="s">
        <v>1977</v>
      </c>
      <c r="AB70" s="90" t="s">
        <v>1977</v>
      </c>
      <c r="AC70" s="90" t="s">
        <v>1977</v>
      </c>
      <c r="AD70" s="242">
        <v>5</v>
      </c>
      <c r="AE70" s="242">
        <v>9</v>
      </c>
      <c r="AF70" s="242" t="s">
        <v>2360</v>
      </c>
      <c r="AG70" s="90" t="s">
        <v>1977</v>
      </c>
      <c r="AH70" s="90" t="s">
        <v>1977</v>
      </c>
      <c r="AI70" s="90" t="s">
        <v>1977</v>
      </c>
      <c r="AJ70" s="90" t="s">
        <v>1977</v>
      </c>
      <c r="AK70" s="90" t="s">
        <v>1977</v>
      </c>
      <c r="AL70" s="90" t="s">
        <v>1977</v>
      </c>
      <c r="AM70" s="90" t="s">
        <v>1977</v>
      </c>
      <c r="AN70" s="90" t="s">
        <v>1977</v>
      </c>
      <c r="AO70" s="90" t="s">
        <v>1977</v>
      </c>
      <c r="AP70" s="90" t="s">
        <v>1977</v>
      </c>
      <c r="AQ70" s="90" t="s">
        <v>1977</v>
      </c>
      <c r="AR70" s="90" t="s">
        <v>1977</v>
      </c>
      <c r="AS70" s="90" t="s">
        <v>1977</v>
      </c>
      <c r="AT70" s="90" t="s">
        <v>1977</v>
      </c>
      <c r="AU70" s="90" t="s">
        <v>1977</v>
      </c>
      <c r="AV70" s="90" t="s">
        <v>1977</v>
      </c>
      <c r="AW70" s="90" t="s">
        <v>1977</v>
      </c>
      <c r="AX70" s="90">
        <v>-2</v>
      </c>
      <c r="AY70" s="90">
        <f>IF(U70&gt;0,"Yes",0)</f>
        <v>0</v>
      </c>
      <c r="BA70"/>
    </row>
    <row r="71" spans="1:68">
      <c r="A71" t="s">
        <v>164</v>
      </c>
      <c r="B71" s="90" t="s">
        <v>165</v>
      </c>
      <c r="C71" t="s">
        <v>1317</v>
      </c>
      <c r="D71" t="s">
        <v>1619</v>
      </c>
      <c r="E71" s="90">
        <v>13</v>
      </c>
      <c r="F71" s="90">
        <v>0</v>
      </c>
      <c r="G71" s="90">
        <v>11</v>
      </c>
      <c r="H71" s="90">
        <v>0</v>
      </c>
      <c r="I71" s="90">
        <v>0</v>
      </c>
      <c r="J71" s="90">
        <v>0</v>
      </c>
      <c r="K71" s="90">
        <v>0</v>
      </c>
      <c r="L71" s="90">
        <v>0</v>
      </c>
      <c r="M71" s="90">
        <v>15</v>
      </c>
      <c r="N71" s="90">
        <v>0</v>
      </c>
      <c r="O71" s="90">
        <v>1</v>
      </c>
      <c r="P71" s="90">
        <v>3</v>
      </c>
      <c r="Q71" s="90" t="s">
        <v>1943</v>
      </c>
      <c r="R71" s="90" t="s">
        <v>1943</v>
      </c>
      <c r="S71" s="90" t="s">
        <v>1943</v>
      </c>
      <c r="T71" s="90" t="s">
        <v>1943</v>
      </c>
      <c r="U71" s="90" t="s">
        <v>1943</v>
      </c>
      <c r="V71" s="90" t="s">
        <v>1943</v>
      </c>
      <c r="W71" s="168" t="s">
        <v>166</v>
      </c>
      <c r="X71" s="90" t="s">
        <v>1226</v>
      </c>
      <c r="Y71" s="90" t="s">
        <v>1977</v>
      </c>
      <c r="Z71" s="90" t="s">
        <v>1977</v>
      </c>
      <c r="AA71" s="90" t="s">
        <v>1977</v>
      </c>
      <c r="AB71" s="90" t="s">
        <v>1977</v>
      </c>
      <c r="AC71" s="90" t="s">
        <v>1977</v>
      </c>
      <c r="AD71" s="242">
        <v>5</v>
      </c>
      <c r="AE71" s="242">
        <v>5</v>
      </c>
      <c r="AF71" s="90" t="s">
        <v>1977</v>
      </c>
      <c r="AG71" s="90" t="s">
        <v>1977</v>
      </c>
      <c r="AH71" s="90" t="s">
        <v>1977</v>
      </c>
      <c r="AI71" s="90" t="s">
        <v>1977</v>
      </c>
      <c r="AJ71" s="90" t="s">
        <v>1977</v>
      </c>
      <c r="AK71" s="90" t="s">
        <v>1977</v>
      </c>
      <c r="AL71" s="90" t="s">
        <v>1977</v>
      </c>
      <c r="AM71" s="90" t="s">
        <v>1977</v>
      </c>
      <c r="AN71" s="242" t="s">
        <v>1488</v>
      </c>
      <c r="AO71">
        <v>5</v>
      </c>
      <c r="AP71" s="90" t="s">
        <v>1977</v>
      </c>
      <c r="AQ71" s="90" t="s">
        <v>1977</v>
      </c>
      <c r="AR71" s="90" t="s">
        <v>1977</v>
      </c>
      <c r="AS71" s="90" t="s">
        <v>1977</v>
      </c>
      <c r="AT71" s="90" t="s">
        <v>1977</v>
      </c>
      <c r="AU71" s="90" t="s">
        <v>1977</v>
      </c>
      <c r="AV71" s="90" t="s">
        <v>1977</v>
      </c>
      <c r="AW71" s="90" t="s">
        <v>1977</v>
      </c>
      <c r="AX71" s="90">
        <v>50</v>
      </c>
      <c r="AY71" s="90">
        <v>0</v>
      </c>
      <c r="AZ71" t="s">
        <v>167</v>
      </c>
      <c r="BA71" t="s">
        <v>168</v>
      </c>
      <c r="BB71" t="s">
        <v>164</v>
      </c>
      <c r="BC71" t="s">
        <v>1317</v>
      </c>
      <c r="BD71" t="s">
        <v>165</v>
      </c>
      <c r="BE71" t="s">
        <v>1619</v>
      </c>
      <c r="BF71">
        <v>1</v>
      </c>
      <c r="BG71" t="s">
        <v>326</v>
      </c>
      <c r="BH71">
        <v>1400</v>
      </c>
      <c r="BI71">
        <v>50</v>
      </c>
      <c r="BJ71" t="s">
        <v>1943</v>
      </c>
      <c r="BK71">
        <v>5</v>
      </c>
      <c r="BL71">
        <v>9</v>
      </c>
      <c r="BM71">
        <v>18</v>
      </c>
      <c r="BN71">
        <v>2</v>
      </c>
      <c r="BO71">
        <v>2</v>
      </c>
    </row>
    <row r="72" spans="1:68">
      <c r="A72" t="s">
        <v>39</v>
      </c>
      <c r="B72" s="90">
        <v>2</v>
      </c>
      <c r="C72" t="s">
        <v>1022</v>
      </c>
      <c r="D72" t="s">
        <v>2003</v>
      </c>
      <c r="E72" s="90">
        <v>0</v>
      </c>
      <c r="F72" s="90">
        <v>0</v>
      </c>
      <c r="G72" s="90">
        <v>0</v>
      </c>
      <c r="H72" s="90">
        <v>0</v>
      </c>
      <c r="I72" s="90">
        <v>0</v>
      </c>
      <c r="J72" s="90">
        <v>0</v>
      </c>
      <c r="K72" s="90">
        <v>0</v>
      </c>
      <c r="L72" s="90">
        <v>0</v>
      </c>
      <c r="M72" s="90">
        <v>15</v>
      </c>
      <c r="N72" s="90">
        <v>0</v>
      </c>
      <c r="O72" s="90">
        <v>7</v>
      </c>
      <c r="P72" s="90">
        <v>-3</v>
      </c>
      <c r="Q72" s="90" t="s">
        <v>322</v>
      </c>
      <c r="R72" s="90" t="s">
        <v>322</v>
      </c>
      <c r="S72" s="90" t="s">
        <v>322</v>
      </c>
      <c r="T72" s="90" t="s">
        <v>322</v>
      </c>
      <c r="U72" s="90" t="s">
        <v>322</v>
      </c>
      <c r="V72" s="90" t="s">
        <v>322</v>
      </c>
      <c r="W72" s="168" t="s">
        <v>35</v>
      </c>
      <c r="X72" s="90" t="s">
        <v>2278</v>
      </c>
      <c r="Y72" s="90" t="s">
        <v>2278</v>
      </c>
      <c r="Z72" s="90" t="s">
        <v>1514</v>
      </c>
      <c r="AA72" s="90" t="s">
        <v>1977</v>
      </c>
      <c r="AB72" s="90" t="s">
        <v>1977</v>
      </c>
      <c r="AC72" s="90" t="s">
        <v>1977</v>
      </c>
      <c r="AD72" s="242">
        <v>10</v>
      </c>
      <c r="AE72" s="242">
        <v>10</v>
      </c>
      <c r="AF72" s="90" t="s">
        <v>1977</v>
      </c>
      <c r="AG72" s="90" t="s">
        <v>1977</v>
      </c>
      <c r="AH72" s="90" t="s">
        <v>1977</v>
      </c>
      <c r="AI72" s="90" t="s">
        <v>1977</v>
      </c>
      <c r="AJ72" s="90" t="s">
        <v>1977</v>
      </c>
      <c r="AK72" s="90" t="s">
        <v>1977</v>
      </c>
      <c r="AL72" s="90" t="s">
        <v>1977</v>
      </c>
      <c r="AM72" s="90" t="s">
        <v>1977</v>
      </c>
      <c r="AN72" s="90" t="s">
        <v>1977</v>
      </c>
      <c r="AO72" s="90" t="s">
        <v>1977</v>
      </c>
      <c r="AP72" s="90" t="s">
        <v>1977</v>
      </c>
      <c r="AQ72" s="90" t="s">
        <v>1977</v>
      </c>
      <c r="AR72" s="90" t="s">
        <v>1977</v>
      </c>
      <c r="AS72" s="90" t="s">
        <v>1977</v>
      </c>
      <c r="AT72" s="90" t="s">
        <v>1977</v>
      </c>
      <c r="AU72" s="90" t="s">
        <v>1977</v>
      </c>
      <c r="AV72" s="90" t="s">
        <v>1977</v>
      </c>
      <c r="AW72" s="90" t="s">
        <v>1977</v>
      </c>
      <c r="AX72" s="90">
        <v>75</v>
      </c>
      <c r="AY72" s="90">
        <v>0</v>
      </c>
      <c r="AZ72" t="s">
        <v>324</v>
      </c>
      <c r="BA72" t="s">
        <v>38</v>
      </c>
      <c r="BB72" t="s">
        <v>39</v>
      </c>
      <c r="BC72" t="s">
        <v>1022</v>
      </c>
      <c r="BD72">
        <v>2</v>
      </c>
      <c r="BE72" t="s">
        <v>2003</v>
      </c>
      <c r="BF72">
        <v>7</v>
      </c>
      <c r="BG72" t="s">
        <v>330</v>
      </c>
      <c r="BH72">
        <v>65</v>
      </c>
      <c r="BI72">
        <v>75</v>
      </c>
      <c r="BJ72" t="s">
        <v>322</v>
      </c>
      <c r="BK72">
        <v>0</v>
      </c>
      <c r="BL72">
        <v>6</v>
      </c>
      <c r="BM72">
        <v>10</v>
      </c>
      <c r="BN72">
        <v>6</v>
      </c>
      <c r="BO72">
        <v>0</v>
      </c>
    </row>
    <row r="73" spans="1:68">
      <c r="A73" t="s">
        <v>1291</v>
      </c>
      <c r="B73" s="90" t="s">
        <v>2344</v>
      </c>
      <c r="C73" t="s">
        <v>1317</v>
      </c>
      <c r="D73" t="s">
        <v>1619</v>
      </c>
      <c r="E73" s="90">
        <f>P73</f>
        <v>3</v>
      </c>
      <c r="F73" s="90">
        <v>-2</v>
      </c>
      <c r="G73" s="90">
        <v>2</v>
      </c>
      <c r="H73" s="90">
        <v>0</v>
      </c>
      <c r="I73" s="90">
        <v>0</v>
      </c>
      <c r="J73" s="90">
        <v>0</v>
      </c>
      <c r="K73" s="90">
        <v>0</v>
      </c>
      <c r="L73" s="90">
        <v>0</v>
      </c>
      <c r="M73" s="90">
        <f>IF(C73="Carnivore",15,10)</f>
        <v>10</v>
      </c>
      <c r="N73" s="90">
        <v>-2</v>
      </c>
      <c r="O73" s="90">
        <v>3</v>
      </c>
      <c r="P73" s="90">
        <v>3</v>
      </c>
      <c r="Q73" s="90" t="s">
        <v>1943</v>
      </c>
      <c r="R73" s="90" t="s">
        <v>1943</v>
      </c>
      <c r="S73" s="90" t="s">
        <v>1943</v>
      </c>
      <c r="T73" s="90" t="s">
        <v>1943</v>
      </c>
      <c r="U73" s="90"/>
      <c r="V73" s="90"/>
      <c r="W73" s="168" t="s">
        <v>1812</v>
      </c>
      <c r="X73" s="90" t="s">
        <v>1019</v>
      </c>
      <c r="Y73" s="90" t="s">
        <v>1514</v>
      </c>
      <c r="Z73" s="90" t="s">
        <v>1977</v>
      </c>
      <c r="AA73" s="90" t="s">
        <v>1977</v>
      </c>
      <c r="AB73" s="90" t="s">
        <v>1977</v>
      </c>
      <c r="AC73" s="90" t="s">
        <v>1977</v>
      </c>
      <c r="AD73" s="242">
        <v>5</v>
      </c>
      <c r="AE73" s="242">
        <v>7</v>
      </c>
      <c r="AF73" s="90" t="s">
        <v>1977</v>
      </c>
      <c r="AG73" s="90" t="s">
        <v>1977</v>
      </c>
      <c r="AH73" s="90" t="s">
        <v>1977</v>
      </c>
      <c r="AI73" s="90" t="s">
        <v>1977</v>
      </c>
      <c r="AJ73" s="90" t="s">
        <v>1977</v>
      </c>
      <c r="AK73" s="90" t="s">
        <v>1977</v>
      </c>
      <c r="AL73" s="90" t="s">
        <v>1977</v>
      </c>
      <c r="AM73" s="90" t="s">
        <v>1977</v>
      </c>
      <c r="AN73" s="90" t="s">
        <v>1977</v>
      </c>
      <c r="AO73" s="90" t="s">
        <v>1977</v>
      </c>
      <c r="AP73" s="90" t="s">
        <v>1977</v>
      </c>
      <c r="AQ73" s="90" t="s">
        <v>1977</v>
      </c>
      <c r="AR73" s="90" t="s">
        <v>1977</v>
      </c>
      <c r="AS73" s="90" t="s">
        <v>1977</v>
      </c>
      <c r="AT73" s="90" t="s">
        <v>1977</v>
      </c>
      <c r="AU73" s="90" t="s">
        <v>1977</v>
      </c>
      <c r="AV73" s="90" t="s">
        <v>1977</v>
      </c>
      <c r="AW73" s="90" t="s">
        <v>1977</v>
      </c>
      <c r="AX73" s="90">
        <v>15</v>
      </c>
      <c r="AY73" s="90">
        <f>IF(U73&gt;0,"Yes",0)</f>
        <v>0</v>
      </c>
      <c r="BA73"/>
    </row>
    <row r="74" spans="1:68">
      <c r="A74" t="s">
        <v>155</v>
      </c>
      <c r="B74" s="90" t="s">
        <v>156</v>
      </c>
      <c r="C74" t="s">
        <v>1022</v>
      </c>
      <c r="D74" t="s">
        <v>1098</v>
      </c>
      <c r="E74" s="90">
        <v>0</v>
      </c>
      <c r="F74" s="90">
        <v>0</v>
      </c>
      <c r="G74" s="90">
        <v>0</v>
      </c>
      <c r="H74" s="90">
        <v>0</v>
      </c>
      <c r="I74" s="90">
        <v>0</v>
      </c>
      <c r="J74" s="90">
        <v>0</v>
      </c>
      <c r="K74" s="90">
        <v>0</v>
      </c>
      <c r="L74" s="90">
        <v>0</v>
      </c>
      <c r="M74" s="90">
        <v>15</v>
      </c>
      <c r="N74" s="90">
        <v>0</v>
      </c>
      <c r="O74" s="90">
        <v>5</v>
      </c>
      <c r="P74" s="90">
        <v>-9</v>
      </c>
      <c r="Q74" s="90" t="s">
        <v>1510</v>
      </c>
      <c r="R74" s="90" t="s">
        <v>1510</v>
      </c>
      <c r="S74" s="90" t="s">
        <v>1510</v>
      </c>
      <c r="T74" s="90" t="s">
        <v>1510</v>
      </c>
      <c r="U74" s="90" t="s">
        <v>1510</v>
      </c>
      <c r="V74" s="90" t="s">
        <v>1510</v>
      </c>
      <c r="W74" s="168" t="s">
        <v>157</v>
      </c>
      <c r="X74" s="90" t="s">
        <v>1514</v>
      </c>
      <c r="Y74" s="90" t="s">
        <v>1977</v>
      </c>
      <c r="Z74" s="90" t="s">
        <v>1977</v>
      </c>
      <c r="AA74" s="90" t="s">
        <v>1977</v>
      </c>
      <c r="AB74" s="90" t="s">
        <v>1977</v>
      </c>
      <c r="AC74" s="90" t="s">
        <v>1977</v>
      </c>
      <c r="AD74" s="242">
        <v>10</v>
      </c>
      <c r="AE74" s="242">
        <v>10</v>
      </c>
      <c r="AF74" s="90" t="s">
        <v>1977</v>
      </c>
      <c r="AG74" s="90" t="s">
        <v>1977</v>
      </c>
      <c r="AH74" s="90" t="s">
        <v>1977</v>
      </c>
      <c r="AI74" s="90" t="s">
        <v>1977</v>
      </c>
      <c r="AJ74" s="90" t="s">
        <v>1977</v>
      </c>
      <c r="AK74" s="90" t="s">
        <v>1977</v>
      </c>
      <c r="AL74" s="90" t="s">
        <v>1977</v>
      </c>
      <c r="AM74" s="90" t="s">
        <v>1977</v>
      </c>
      <c r="AN74" s="242" t="s">
        <v>1488</v>
      </c>
      <c r="AO74">
        <v>5</v>
      </c>
      <c r="AP74" s="90" t="s">
        <v>1977</v>
      </c>
      <c r="AQ74" s="90" t="s">
        <v>1977</v>
      </c>
      <c r="AR74" s="90" t="s">
        <v>1977</v>
      </c>
      <c r="AS74" s="90" t="s">
        <v>1977</v>
      </c>
      <c r="AT74" s="90" t="s">
        <v>1977</v>
      </c>
      <c r="AU74" s="90" t="s">
        <v>1977</v>
      </c>
      <c r="AV74" s="90" t="s">
        <v>1977</v>
      </c>
      <c r="AW74" s="90" t="s">
        <v>1977</v>
      </c>
      <c r="AX74" s="90">
        <v>5</v>
      </c>
      <c r="AY74" s="90">
        <v>0</v>
      </c>
      <c r="AZ74" t="s">
        <v>183</v>
      </c>
      <c r="BA74" t="s">
        <v>154</v>
      </c>
      <c r="BB74" t="s">
        <v>155</v>
      </c>
      <c r="BC74" t="s">
        <v>1022</v>
      </c>
      <c r="BD74" t="s">
        <v>156</v>
      </c>
      <c r="BE74" t="s">
        <v>1098</v>
      </c>
      <c r="BF74">
        <v>5</v>
      </c>
      <c r="BG74" t="s">
        <v>330</v>
      </c>
      <c r="BH74">
        <v>1</v>
      </c>
      <c r="BI74">
        <v>5</v>
      </c>
      <c r="BJ74" t="s">
        <v>1510</v>
      </c>
      <c r="BK74">
        <v>-2</v>
      </c>
      <c r="BL74">
        <v>1</v>
      </c>
      <c r="BM74">
        <v>2</v>
      </c>
      <c r="BN74">
        <v>1</v>
      </c>
      <c r="BO74">
        <v>0</v>
      </c>
    </row>
    <row r="75" spans="1:68">
      <c r="A75" t="s">
        <v>84</v>
      </c>
      <c r="B75" s="90">
        <v>1</v>
      </c>
      <c r="C75" t="s">
        <v>1022</v>
      </c>
      <c r="D75" t="s">
        <v>1098</v>
      </c>
      <c r="E75" s="90">
        <v>0</v>
      </c>
      <c r="F75" s="90">
        <v>0</v>
      </c>
      <c r="G75" s="90">
        <v>0</v>
      </c>
      <c r="H75" s="90">
        <v>0</v>
      </c>
      <c r="I75" s="90">
        <v>0</v>
      </c>
      <c r="J75" s="90">
        <v>0</v>
      </c>
      <c r="K75" s="90">
        <v>0</v>
      </c>
      <c r="L75" s="90">
        <v>0</v>
      </c>
      <c r="M75" s="90">
        <v>15</v>
      </c>
      <c r="N75" s="90">
        <v>0</v>
      </c>
      <c r="O75" s="90">
        <v>4</v>
      </c>
      <c r="P75" s="90">
        <v>3</v>
      </c>
      <c r="Q75" s="90" t="s">
        <v>322</v>
      </c>
      <c r="R75" s="90" t="s">
        <v>322</v>
      </c>
      <c r="S75" s="90" t="s">
        <v>322</v>
      </c>
      <c r="T75" s="90" t="s">
        <v>322</v>
      </c>
      <c r="U75" s="90" t="s">
        <v>322</v>
      </c>
      <c r="V75" s="90" t="s">
        <v>322</v>
      </c>
      <c r="W75" s="168" t="s">
        <v>85</v>
      </c>
      <c r="X75" s="90" t="s">
        <v>1514</v>
      </c>
      <c r="Y75" s="90" t="s">
        <v>2278</v>
      </c>
      <c r="Z75" s="90" t="s">
        <v>2278</v>
      </c>
      <c r="AA75" s="90" t="s">
        <v>1977</v>
      </c>
      <c r="AB75" s="90" t="s">
        <v>1977</v>
      </c>
      <c r="AC75" s="90" t="s">
        <v>1977</v>
      </c>
      <c r="AD75" s="242">
        <v>10</v>
      </c>
      <c r="AE75" s="242">
        <v>10</v>
      </c>
      <c r="AF75" s="90" t="s">
        <v>1977</v>
      </c>
      <c r="AG75" s="90" t="s">
        <v>1977</v>
      </c>
      <c r="AH75" s="90" t="s">
        <v>1977</v>
      </c>
      <c r="AI75" s="90" t="s">
        <v>1977</v>
      </c>
      <c r="AJ75" s="90" t="s">
        <v>1977</v>
      </c>
      <c r="AK75" s="90" t="s">
        <v>1977</v>
      </c>
      <c r="AL75" s="90" t="s">
        <v>1977</v>
      </c>
      <c r="AM75" s="90" t="s">
        <v>1977</v>
      </c>
      <c r="AN75" s="90" t="s">
        <v>1977</v>
      </c>
      <c r="AO75" s="90" t="s">
        <v>1977</v>
      </c>
      <c r="AP75" s="90" t="s">
        <v>1977</v>
      </c>
      <c r="AQ75" s="90" t="s">
        <v>1977</v>
      </c>
      <c r="AR75" s="90" t="s">
        <v>1977</v>
      </c>
      <c r="AS75" s="90" t="s">
        <v>1977</v>
      </c>
      <c r="AT75" s="90" t="s">
        <v>1977</v>
      </c>
      <c r="AU75" s="90" t="s">
        <v>1977</v>
      </c>
      <c r="AV75" s="90" t="s">
        <v>1977</v>
      </c>
      <c r="AW75" s="90" t="s">
        <v>1977</v>
      </c>
      <c r="AX75" s="90">
        <v>55</v>
      </c>
      <c r="AY75" s="90">
        <v>0</v>
      </c>
      <c r="AZ75" t="s">
        <v>91</v>
      </c>
      <c r="BA75" t="s">
        <v>92</v>
      </c>
      <c r="BB75" t="s">
        <v>84</v>
      </c>
      <c r="BC75" t="s">
        <v>1022</v>
      </c>
      <c r="BD75">
        <v>1</v>
      </c>
      <c r="BE75" t="s">
        <v>1098</v>
      </c>
      <c r="BF75">
        <v>4</v>
      </c>
      <c r="BG75" t="s">
        <v>330</v>
      </c>
      <c r="BH75">
        <v>500</v>
      </c>
      <c r="BI75">
        <v>55</v>
      </c>
      <c r="BJ75" t="s">
        <v>322</v>
      </c>
      <c r="BK75">
        <v>0</v>
      </c>
      <c r="BL75">
        <v>6</v>
      </c>
      <c r="BM75">
        <v>12</v>
      </c>
      <c r="BN75">
        <v>10</v>
      </c>
      <c r="BO75">
        <v>0</v>
      </c>
    </row>
    <row r="76" spans="1:68">
      <c r="A76" t="s">
        <v>94</v>
      </c>
      <c r="B76" s="90" t="s">
        <v>1000</v>
      </c>
      <c r="C76" t="s">
        <v>1022</v>
      </c>
      <c r="D76" t="s">
        <v>1098</v>
      </c>
      <c r="E76" s="90">
        <v>0</v>
      </c>
      <c r="F76" s="90">
        <v>0</v>
      </c>
      <c r="G76" s="90">
        <v>0</v>
      </c>
      <c r="H76" s="90">
        <v>0</v>
      </c>
      <c r="I76" s="90">
        <v>0</v>
      </c>
      <c r="J76" s="90">
        <v>0</v>
      </c>
      <c r="K76" s="90">
        <v>0</v>
      </c>
      <c r="L76" s="90">
        <v>0</v>
      </c>
      <c r="M76" s="90">
        <v>15</v>
      </c>
      <c r="N76" s="90">
        <v>0</v>
      </c>
      <c r="O76" s="90">
        <v>6</v>
      </c>
      <c r="P76" s="90">
        <v>1</v>
      </c>
      <c r="Q76" s="90" t="s">
        <v>322</v>
      </c>
      <c r="R76" s="90" t="s">
        <v>322</v>
      </c>
      <c r="S76" s="90" t="s">
        <v>322</v>
      </c>
      <c r="T76" s="90" t="s">
        <v>322</v>
      </c>
      <c r="U76" s="90" t="s">
        <v>322</v>
      </c>
      <c r="V76" s="90" t="s">
        <v>322</v>
      </c>
      <c r="W76" s="168" t="s">
        <v>95</v>
      </c>
      <c r="X76" s="90" t="s">
        <v>1019</v>
      </c>
      <c r="Y76" s="90" t="s">
        <v>1977</v>
      </c>
      <c r="Z76" s="90" t="s">
        <v>1977</v>
      </c>
      <c r="AA76" s="90" t="s">
        <v>1977</v>
      </c>
      <c r="AB76" s="90" t="s">
        <v>1977</v>
      </c>
      <c r="AC76" s="90" t="s">
        <v>1977</v>
      </c>
      <c r="AD76" s="242">
        <v>15</v>
      </c>
      <c r="AE76" s="242">
        <v>15</v>
      </c>
      <c r="AF76" s="90" t="s">
        <v>1977</v>
      </c>
      <c r="AG76" s="90" t="s">
        <v>1977</v>
      </c>
      <c r="AH76" s="90" t="s">
        <v>1977</v>
      </c>
      <c r="AI76" s="90" t="s">
        <v>1977</v>
      </c>
      <c r="AJ76" s="90" t="s">
        <v>1977</v>
      </c>
      <c r="AK76" s="90" t="s">
        <v>1977</v>
      </c>
      <c r="AL76" s="90" t="s">
        <v>1977</v>
      </c>
      <c r="AM76" s="90" t="s">
        <v>1977</v>
      </c>
      <c r="AN76" s="90" t="s">
        <v>1977</v>
      </c>
      <c r="AO76" s="90" t="s">
        <v>1977</v>
      </c>
      <c r="AP76" s="90" t="s">
        <v>1977</v>
      </c>
      <c r="AQ76" s="90" t="s">
        <v>1977</v>
      </c>
      <c r="AR76" s="90" t="s">
        <v>1977</v>
      </c>
      <c r="AS76" s="90" t="s">
        <v>1977</v>
      </c>
      <c r="AT76" s="90" t="s">
        <v>1977</v>
      </c>
      <c r="AU76" s="90" t="s">
        <v>1977</v>
      </c>
      <c r="AV76" s="90" t="s">
        <v>1977</v>
      </c>
      <c r="AW76" s="90" t="s">
        <v>1977</v>
      </c>
      <c r="AX76" s="90">
        <v>100</v>
      </c>
      <c r="AY76" s="90">
        <v>0</v>
      </c>
      <c r="AZ76" t="s">
        <v>324</v>
      </c>
      <c r="BA76" t="s">
        <v>2596</v>
      </c>
      <c r="BB76" t="s">
        <v>94</v>
      </c>
      <c r="BC76" t="s">
        <v>1022</v>
      </c>
      <c r="BD76" t="s">
        <v>1000</v>
      </c>
      <c r="BE76" t="s">
        <v>1098</v>
      </c>
      <c r="BF76">
        <v>6</v>
      </c>
      <c r="BG76" t="s">
        <v>1384</v>
      </c>
      <c r="BH76">
        <v>150</v>
      </c>
      <c r="BI76">
        <v>100</v>
      </c>
      <c r="BJ76" t="s">
        <v>322</v>
      </c>
      <c r="BK76">
        <v>0</v>
      </c>
      <c r="BL76">
        <v>6</v>
      </c>
      <c r="BM76">
        <v>10</v>
      </c>
      <c r="BN76">
        <v>4</v>
      </c>
      <c r="BO76">
        <v>-1</v>
      </c>
    </row>
    <row r="77" spans="1:68">
      <c r="A77" t="s">
        <v>931</v>
      </c>
      <c r="B77" s="100" t="s">
        <v>932</v>
      </c>
      <c r="C77" t="s">
        <v>1022</v>
      </c>
      <c r="D77" t="s">
        <v>933</v>
      </c>
      <c r="E77" s="90">
        <f>P77</f>
        <v>0</v>
      </c>
      <c r="F77" s="90">
        <v>5</v>
      </c>
      <c r="G77" s="90">
        <v>5</v>
      </c>
      <c r="H77" s="90">
        <v>4</v>
      </c>
      <c r="I77" s="90">
        <v>2</v>
      </c>
      <c r="J77" s="90">
        <v>4</v>
      </c>
      <c r="K77" s="90">
        <v>1</v>
      </c>
      <c r="L77" s="90">
        <v>0</v>
      </c>
      <c r="M77" s="90">
        <f>IF(C77="Carnivore",15,10)</f>
        <v>15</v>
      </c>
      <c r="N77" s="90">
        <v>3</v>
      </c>
      <c r="O77" s="90">
        <v>0</v>
      </c>
      <c r="P77" s="90">
        <v>0</v>
      </c>
      <c r="Q77" t="s">
        <v>1063</v>
      </c>
      <c r="R77" t="s">
        <v>1063</v>
      </c>
      <c r="S77" t="s">
        <v>1063</v>
      </c>
      <c r="T77" t="s">
        <v>1063</v>
      </c>
      <c r="X77" t="s">
        <v>1064</v>
      </c>
      <c r="Y77" t="s">
        <v>1064</v>
      </c>
      <c r="Z77" t="s">
        <v>1065</v>
      </c>
      <c r="AA77" t="s">
        <v>1064</v>
      </c>
      <c r="AB77" t="s">
        <v>1064</v>
      </c>
      <c r="AC77" s="90" t="s">
        <v>1977</v>
      </c>
      <c r="AD77" s="90">
        <v>8</v>
      </c>
      <c r="AE77" s="90">
        <v>8</v>
      </c>
      <c r="AF77" s="90" t="s">
        <v>1977</v>
      </c>
      <c r="AG77" s="90" t="s">
        <v>1977</v>
      </c>
      <c r="AH77" s="90" t="s">
        <v>1977</v>
      </c>
      <c r="AI77" s="90" t="s">
        <v>1977</v>
      </c>
      <c r="AJ77" s="90" t="s">
        <v>1977</v>
      </c>
      <c r="AK77" s="90" t="s">
        <v>1977</v>
      </c>
      <c r="AL77" s="90" t="s">
        <v>1977</v>
      </c>
      <c r="AM77" s="90" t="s">
        <v>1977</v>
      </c>
      <c r="AN77" t="s">
        <v>1160</v>
      </c>
      <c r="AO77" s="90">
        <v>8</v>
      </c>
      <c r="AP77" t="s">
        <v>1259</v>
      </c>
      <c r="AQ77" s="90">
        <v>8</v>
      </c>
      <c r="AR77" t="s">
        <v>1582</v>
      </c>
      <c r="AS77" s="90">
        <v>8</v>
      </c>
      <c r="AT77" t="s">
        <v>1069</v>
      </c>
      <c r="AU77" s="90">
        <v>8</v>
      </c>
      <c r="AV77" t="s">
        <v>2228</v>
      </c>
      <c r="AW77" s="90">
        <v>8</v>
      </c>
      <c r="AX77" s="90">
        <v>14</v>
      </c>
      <c r="AY77" s="90">
        <f>IF(U77&gt;0,"Yes",0)</f>
        <v>0</v>
      </c>
      <c r="BA77"/>
    </row>
    <row r="78" spans="1:68">
      <c r="A78" t="s">
        <v>116</v>
      </c>
      <c r="B78" s="90" t="s">
        <v>117</v>
      </c>
      <c r="C78" t="s">
        <v>1317</v>
      </c>
      <c r="D78" t="s">
        <v>1619</v>
      </c>
      <c r="E78" s="90">
        <v>0</v>
      </c>
      <c r="F78" s="90">
        <v>0</v>
      </c>
      <c r="G78" s="90">
        <v>0</v>
      </c>
      <c r="H78" s="90">
        <v>0</v>
      </c>
      <c r="I78" s="90">
        <v>0</v>
      </c>
      <c r="J78" s="90">
        <v>0</v>
      </c>
      <c r="K78" s="90">
        <v>0</v>
      </c>
      <c r="L78" s="90">
        <v>0</v>
      </c>
      <c r="M78" s="90">
        <v>15</v>
      </c>
      <c r="N78" s="90">
        <v>0</v>
      </c>
      <c r="O78" s="90">
        <v>2</v>
      </c>
      <c r="P78" s="90">
        <v>-3</v>
      </c>
      <c r="Q78" s="90" t="s">
        <v>322</v>
      </c>
      <c r="R78" s="90" t="s">
        <v>322</v>
      </c>
      <c r="S78" s="90" t="s">
        <v>322</v>
      </c>
      <c r="T78" s="90" t="s">
        <v>322</v>
      </c>
      <c r="U78" s="90" t="s">
        <v>322</v>
      </c>
      <c r="V78" s="90" t="s">
        <v>322</v>
      </c>
      <c r="W78" s="168" t="s">
        <v>118</v>
      </c>
      <c r="X78" s="90" t="s">
        <v>1019</v>
      </c>
      <c r="Y78" s="90" t="s">
        <v>1977</v>
      </c>
      <c r="Z78" s="90" t="s">
        <v>1977</v>
      </c>
      <c r="AA78" s="90" t="s">
        <v>1977</v>
      </c>
      <c r="AB78" s="90" t="s">
        <v>1977</v>
      </c>
      <c r="AC78" s="90" t="s">
        <v>1977</v>
      </c>
      <c r="AD78" s="242">
        <v>5</v>
      </c>
      <c r="AE78" s="242">
        <v>5</v>
      </c>
      <c r="AF78" s="90" t="s">
        <v>1977</v>
      </c>
      <c r="AG78" s="90" t="s">
        <v>1977</v>
      </c>
      <c r="AH78" s="90" t="s">
        <v>1977</v>
      </c>
      <c r="AI78" s="90" t="s">
        <v>1977</v>
      </c>
      <c r="AJ78" s="90" t="s">
        <v>1977</v>
      </c>
      <c r="AK78" s="90" t="s">
        <v>1977</v>
      </c>
      <c r="AL78" s="90" t="s">
        <v>1977</v>
      </c>
      <c r="AM78" s="90" t="s">
        <v>1977</v>
      </c>
      <c r="AN78" s="90" t="s">
        <v>1977</v>
      </c>
      <c r="AO78" s="90" t="s">
        <v>1977</v>
      </c>
      <c r="AP78" s="90" t="s">
        <v>1977</v>
      </c>
      <c r="AQ78" s="90" t="s">
        <v>1977</v>
      </c>
      <c r="AR78" s="90" t="s">
        <v>1977</v>
      </c>
      <c r="AS78" s="90" t="s">
        <v>1977</v>
      </c>
      <c r="AT78" s="90" t="s">
        <v>1977</v>
      </c>
      <c r="AU78" s="90" t="s">
        <v>1977</v>
      </c>
      <c r="AV78" s="90" t="s">
        <v>1977</v>
      </c>
      <c r="AW78" s="90" t="s">
        <v>1977</v>
      </c>
      <c r="AX78" s="90">
        <v>80</v>
      </c>
      <c r="AY78" s="90">
        <v>0</v>
      </c>
      <c r="AZ78" t="s">
        <v>324</v>
      </c>
      <c r="BA78" t="s">
        <v>115</v>
      </c>
      <c r="BB78" t="s">
        <v>116</v>
      </c>
      <c r="BC78" t="s">
        <v>1317</v>
      </c>
      <c r="BD78" t="s">
        <v>117</v>
      </c>
      <c r="BE78" t="s">
        <v>1619</v>
      </c>
      <c r="BF78">
        <v>2</v>
      </c>
      <c r="BG78" t="s">
        <v>326</v>
      </c>
      <c r="BH78">
        <v>45</v>
      </c>
      <c r="BI78">
        <v>80</v>
      </c>
      <c r="BJ78" t="s">
        <v>322</v>
      </c>
      <c r="BK78">
        <v>0</v>
      </c>
      <c r="BL78">
        <v>1</v>
      </c>
      <c r="BM78">
        <v>2</v>
      </c>
      <c r="BN78">
        <v>0</v>
      </c>
      <c r="BO78">
        <v>0</v>
      </c>
    </row>
    <row r="79" spans="1:68">
      <c r="A79" t="s">
        <v>36</v>
      </c>
      <c r="B79" s="90">
        <v>1</v>
      </c>
      <c r="C79" t="s">
        <v>1022</v>
      </c>
      <c r="D79" t="s">
        <v>1109</v>
      </c>
      <c r="E79" s="90">
        <v>0</v>
      </c>
      <c r="F79" s="90">
        <v>0</v>
      </c>
      <c r="G79" s="90">
        <v>0</v>
      </c>
      <c r="H79" s="90">
        <v>0</v>
      </c>
      <c r="I79" s="90">
        <v>0</v>
      </c>
      <c r="J79" s="90">
        <v>0</v>
      </c>
      <c r="K79" s="90">
        <v>0</v>
      </c>
      <c r="L79" s="90">
        <v>0</v>
      </c>
      <c r="M79" s="90">
        <v>15</v>
      </c>
      <c r="N79" s="90">
        <v>0</v>
      </c>
      <c r="O79" s="90">
        <v>11</v>
      </c>
      <c r="P79" s="90">
        <v>0</v>
      </c>
      <c r="Q79" s="90" t="s">
        <v>322</v>
      </c>
      <c r="R79" s="90" t="s">
        <v>322</v>
      </c>
      <c r="S79" s="90" t="s">
        <v>322</v>
      </c>
      <c r="T79" s="90" t="s">
        <v>322</v>
      </c>
      <c r="U79" s="90" t="s">
        <v>322</v>
      </c>
      <c r="V79" s="90" t="s">
        <v>322</v>
      </c>
      <c r="W79" s="168" t="s">
        <v>32</v>
      </c>
      <c r="X79" s="90" t="s">
        <v>2278</v>
      </c>
      <c r="Y79" s="90" t="s">
        <v>2278</v>
      </c>
      <c r="Z79" s="90" t="s">
        <v>1514</v>
      </c>
      <c r="AA79" s="90" t="s">
        <v>1977</v>
      </c>
      <c r="AB79" s="90" t="s">
        <v>1977</v>
      </c>
      <c r="AC79" s="90" t="s">
        <v>1977</v>
      </c>
      <c r="AD79" s="242">
        <v>15</v>
      </c>
      <c r="AE79" s="242">
        <v>15</v>
      </c>
      <c r="AF79" s="90" t="s">
        <v>1977</v>
      </c>
      <c r="AG79" s="90" t="s">
        <v>1977</v>
      </c>
      <c r="AH79" s="242" t="s">
        <v>2368</v>
      </c>
      <c r="AI79" s="90" t="s">
        <v>1977</v>
      </c>
      <c r="AJ79" s="90" t="s">
        <v>1977</v>
      </c>
      <c r="AK79" s="90" t="s">
        <v>1977</v>
      </c>
      <c r="AL79" s="90" t="s">
        <v>1977</v>
      </c>
      <c r="AM79" s="90" t="s">
        <v>1977</v>
      </c>
      <c r="AN79" s="90" t="s">
        <v>1977</v>
      </c>
      <c r="AO79" s="90" t="s">
        <v>1977</v>
      </c>
      <c r="AP79" s="90" t="s">
        <v>1977</v>
      </c>
      <c r="AQ79" s="90" t="s">
        <v>1977</v>
      </c>
      <c r="AR79" s="90" t="s">
        <v>1977</v>
      </c>
      <c r="AS79" s="90" t="s">
        <v>1977</v>
      </c>
      <c r="AT79" s="90" t="s">
        <v>1977</v>
      </c>
      <c r="AU79" s="90" t="s">
        <v>1977</v>
      </c>
      <c r="AV79" s="90" t="s">
        <v>1977</v>
      </c>
      <c r="AW79" s="90" t="s">
        <v>1977</v>
      </c>
      <c r="AX79" s="90">
        <v>85</v>
      </c>
      <c r="AY79" s="90">
        <v>0</v>
      </c>
      <c r="AZ79" t="s">
        <v>324</v>
      </c>
      <c r="BA79" t="s">
        <v>33</v>
      </c>
      <c r="BB79" t="s">
        <v>36</v>
      </c>
      <c r="BC79" t="s">
        <v>1022</v>
      </c>
      <c r="BD79">
        <v>1</v>
      </c>
      <c r="BE79" t="s">
        <v>1109</v>
      </c>
      <c r="BF79">
        <v>11</v>
      </c>
      <c r="BG79" t="s">
        <v>1384</v>
      </c>
      <c r="BH79">
        <v>80</v>
      </c>
      <c r="BI79">
        <v>85</v>
      </c>
      <c r="BJ79" t="s">
        <v>322</v>
      </c>
      <c r="BK79">
        <v>0</v>
      </c>
      <c r="BL79">
        <v>6</v>
      </c>
      <c r="BM79">
        <v>12</v>
      </c>
      <c r="BN79">
        <v>8</v>
      </c>
      <c r="BO79">
        <v>-3</v>
      </c>
    </row>
    <row r="80" spans="1:68">
      <c r="A80" t="s">
        <v>15</v>
      </c>
      <c r="B80" s="90">
        <v>1</v>
      </c>
      <c r="C80" t="s">
        <v>1022</v>
      </c>
      <c r="D80" t="s">
        <v>1098</v>
      </c>
      <c r="E80" s="90">
        <v>0</v>
      </c>
      <c r="F80" s="90">
        <v>0</v>
      </c>
      <c r="G80" s="90">
        <v>0</v>
      </c>
      <c r="H80" s="90">
        <v>0</v>
      </c>
      <c r="I80" s="90">
        <v>0</v>
      </c>
      <c r="J80" s="90">
        <v>0</v>
      </c>
      <c r="K80" s="90">
        <v>0</v>
      </c>
      <c r="L80" s="90">
        <v>0</v>
      </c>
      <c r="M80" s="90">
        <v>15</v>
      </c>
      <c r="N80" s="90">
        <v>0</v>
      </c>
      <c r="O80" s="90">
        <v>3</v>
      </c>
      <c r="P80" s="90">
        <v>0</v>
      </c>
      <c r="Q80" s="90" t="s">
        <v>1511</v>
      </c>
      <c r="R80" s="90" t="s">
        <v>1511</v>
      </c>
      <c r="S80" s="90" t="s">
        <v>1511</v>
      </c>
      <c r="T80" s="90" t="s">
        <v>1511</v>
      </c>
      <c r="U80" s="90" t="s">
        <v>1511</v>
      </c>
      <c r="V80" s="90" t="s">
        <v>1511</v>
      </c>
      <c r="W80" s="168" t="s">
        <v>16</v>
      </c>
      <c r="X80" s="90" t="s">
        <v>1675</v>
      </c>
      <c r="Y80" s="90" t="s">
        <v>1977</v>
      </c>
      <c r="Z80" s="90" t="s">
        <v>1977</v>
      </c>
      <c r="AA80" s="90" t="s">
        <v>1977</v>
      </c>
      <c r="AB80" s="90" t="s">
        <v>1977</v>
      </c>
      <c r="AC80" s="90" t="s">
        <v>1977</v>
      </c>
      <c r="AD80" s="242">
        <v>10</v>
      </c>
      <c r="AE80" s="242">
        <v>10</v>
      </c>
      <c r="AF80" s="90" t="s">
        <v>1977</v>
      </c>
      <c r="AG80" s="90" t="s">
        <v>1977</v>
      </c>
      <c r="AH80" s="90" t="s">
        <v>1977</v>
      </c>
      <c r="AI80" s="90" t="s">
        <v>1977</v>
      </c>
      <c r="AJ80" s="90" t="s">
        <v>1977</v>
      </c>
      <c r="AK80" s="90" t="s">
        <v>1977</v>
      </c>
      <c r="AL80" s="90" t="s">
        <v>1977</v>
      </c>
      <c r="AM80" s="90" t="s">
        <v>1977</v>
      </c>
      <c r="AN80" s="90" t="s">
        <v>1977</v>
      </c>
      <c r="AO80" s="90" t="s">
        <v>1977</v>
      </c>
      <c r="AP80" s="90" t="s">
        <v>1977</v>
      </c>
      <c r="AQ80" s="90" t="s">
        <v>1977</v>
      </c>
      <c r="AR80" s="90" t="s">
        <v>1977</v>
      </c>
      <c r="AS80" s="90" t="s">
        <v>1977</v>
      </c>
      <c r="AT80" s="90" t="s">
        <v>1977</v>
      </c>
      <c r="AU80" s="90" t="s">
        <v>1977</v>
      </c>
      <c r="AV80" s="90" t="s">
        <v>1977</v>
      </c>
      <c r="AW80" s="90" t="s">
        <v>1977</v>
      </c>
      <c r="AX80" s="90">
        <v>0</v>
      </c>
      <c r="AY80" s="90">
        <v>0</v>
      </c>
      <c r="AZ80" t="s">
        <v>324</v>
      </c>
      <c r="BA80" t="s">
        <v>14</v>
      </c>
      <c r="BB80" t="s">
        <v>15</v>
      </c>
      <c r="BC80" t="s">
        <v>1022</v>
      </c>
      <c r="BD80">
        <v>1</v>
      </c>
      <c r="BE80" t="s">
        <v>1098</v>
      </c>
      <c r="BF80">
        <v>3</v>
      </c>
      <c r="BG80" t="s">
        <v>330</v>
      </c>
      <c r="BH80">
        <v>80</v>
      </c>
      <c r="BI80">
        <v>0</v>
      </c>
      <c r="BJ80" t="s">
        <v>1511</v>
      </c>
      <c r="BK80">
        <v>0</v>
      </c>
      <c r="BL80">
        <v>2</v>
      </c>
      <c r="BM80">
        <v>6</v>
      </c>
      <c r="BN80">
        <v>1</v>
      </c>
      <c r="BO80">
        <v>0</v>
      </c>
    </row>
    <row r="81" spans="1:67">
      <c r="A81" t="s">
        <v>6</v>
      </c>
      <c r="B81" s="90">
        <v>1</v>
      </c>
      <c r="C81" t="s">
        <v>1022</v>
      </c>
      <c r="D81" t="s">
        <v>2003</v>
      </c>
      <c r="E81" s="90">
        <v>0</v>
      </c>
      <c r="F81" s="90">
        <v>0</v>
      </c>
      <c r="G81" s="90">
        <v>0</v>
      </c>
      <c r="H81" s="90">
        <v>0</v>
      </c>
      <c r="I81" s="90">
        <v>0</v>
      </c>
      <c r="J81" s="90">
        <v>0</v>
      </c>
      <c r="K81" s="90">
        <v>0</v>
      </c>
      <c r="L81" s="90">
        <v>0</v>
      </c>
      <c r="M81" s="90">
        <v>15</v>
      </c>
      <c r="N81" s="90">
        <v>0</v>
      </c>
      <c r="O81" s="90">
        <v>7</v>
      </c>
      <c r="P81" s="90">
        <v>-5</v>
      </c>
      <c r="Q81" s="90" t="s">
        <v>322</v>
      </c>
      <c r="R81" s="90" t="s">
        <v>322</v>
      </c>
      <c r="S81" s="90" t="s">
        <v>322</v>
      </c>
      <c r="T81" s="90" t="s">
        <v>322</v>
      </c>
      <c r="U81" s="90" t="s">
        <v>322</v>
      </c>
      <c r="V81" s="90" t="s">
        <v>322</v>
      </c>
      <c r="W81" s="168" t="s">
        <v>3</v>
      </c>
      <c r="X81" s="90" t="s">
        <v>2139</v>
      </c>
      <c r="Y81" s="90" t="s">
        <v>1226</v>
      </c>
      <c r="Z81" s="90" t="s">
        <v>1977</v>
      </c>
      <c r="AA81" s="90" t="s">
        <v>1977</v>
      </c>
      <c r="AB81" s="90" t="s">
        <v>1977</v>
      </c>
      <c r="AC81" s="90" t="s">
        <v>1977</v>
      </c>
      <c r="AD81" s="242">
        <v>15</v>
      </c>
      <c r="AE81" s="242">
        <v>15</v>
      </c>
      <c r="AF81" s="90" t="s">
        <v>1977</v>
      </c>
      <c r="AG81" s="90" t="s">
        <v>1977</v>
      </c>
      <c r="AH81" s="90" t="s">
        <v>1977</v>
      </c>
      <c r="AI81" s="90" t="s">
        <v>1977</v>
      </c>
      <c r="AJ81" s="90" t="s">
        <v>1977</v>
      </c>
      <c r="AK81" s="90" t="s">
        <v>1977</v>
      </c>
      <c r="AL81" s="90" t="s">
        <v>1977</v>
      </c>
      <c r="AM81" s="90" t="s">
        <v>1977</v>
      </c>
      <c r="AN81" s="90" t="s">
        <v>1977</v>
      </c>
      <c r="AO81" s="90" t="s">
        <v>1977</v>
      </c>
      <c r="AP81" s="90" t="s">
        <v>1977</v>
      </c>
      <c r="AQ81" s="90" t="s">
        <v>1977</v>
      </c>
      <c r="AR81" s="90" t="s">
        <v>1977</v>
      </c>
      <c r="AS81" s="90" t="s">
        <v>1977</v>
      </c>
      <c r="AT81" s="90" t="s">
        <v>1977</v>
      </c>
      <c r="AU81" s="90" t="s">
        <v>1977</v>
      </c>
      <c r="AV81" s="90" t="s">
        <v>1977</v>
      </c>
      <c r="AW81" s="90" t="s">
        <v>1977</v>
      </c>
      <c r="AX81" s="90">
        <v>80</v>
      </c>
      <c r="AY81" s="90">
        <v>0</v>
      </c>
      <c r="AZ81" t="s">
        <v>324</v>
      </c>
      <c r="BA81" t="s">
        <v>5</v>
      </c>
      <c r="BB81" t="s">
        <v>6</v>
      </c>
      <c r="BC81" t="s">
        <v>1022</v>
      </c>
      <c r="BD81">
        <v>1</v>
      </c>
      <c r="BE81" t="s">
        <v>2003</v>
      </c>
      <c r="BF81">
        <v>7</v>
      </c>
      <c r="BG81" t="s">
        <v>1384</v>
      </c>
      <c r="BH81">
        <v>10</v>
      </c>
      <c r="BI81">
        <v>80</v>
      </c>
      <c r="BJ81" t="s">
        <v>322</v>
      </c>
      <c r="BK81">
        <v>-4</v>
      </c>
      <c r="BL81">
        <v>1</v>
      </c>
      <c r="BM81">
        <v>3</v>
      </c>
      <c r="BN81">
        <v>1</v>
      </c>
      <c r="BO81">
        <v>-6</v>
      </c>
    </row>
    <row r="82" spans="1:67">
      <c r="A82" t="s">
        <v>2056</v>
      </c>
      <c r="B82" s="90">
        <v>1</v>
      </c>
      <c r="C82" t="s">
        <v>1022</v>
      </c>
      <c r="D82" t="s">
        <v>1109</v>
      </c>
      <c r="E82" s="90">
        <f>P82</f>
        <v>7</v>
      </c>
      <c r="F82" s="90">
        <v>0</v>
      </c>
      <c r="G82" s="90">
        <v>0</v>
      </c>
      <c r="H82" s="90">
        <v>0</v>
      </c>
      <c r="I82" s="90">
        <v>0</v>
      </c>
      <c r="J82" s="90">
        <v>0</v>
      </c>
      <c r="K82" s="90">
        <v>0</v>
      </c>
      <c r="L82" s="90">
        <v>0</v>
      </c>
      <c r="M82" s="90">
        <f>IF(C82="Carnivore",15,10)</f>
        <v>15</v>
      </c>
      <c r="N82" s="90">
        <v>0</v>
      </c>
      <c r="O82" s="90">
        <v>7</v>
      </c>
      <c r="P82" s="90">
        <v>7</v>
      </c>
      <c r="Q82" s="90" t="s">
        <v>1519</v>
      </c>
      <c r="R82" s="90" t="s">
        <v>1519</v>
      </c>
      <c r="S82" s="90" t="s">
        <v>1519</v>
      </c>
      <c r="T82" s="90" t="s">
        <v>1519</v>
      </c>
      <c r="U82" s="90"/>
      <c r="V82" s="90"/>
      <c r="W82" s="168" t="s">
        <v>1990</v>
      </c>
      <c r="X82" s="90" t="s">
        <v>1514</v>
      </c>
      <c r="Y82" s="90" t="s">
        <v>1496</v>
      </c>
      <c r="Z82" s="90" t="s">
        <v>1977</v>
      </c>
      <c r="AA82" s="90" t="s">
        <v>1977</v>
      </c>
      <c r="AB82" s="90" t="s">
        <v>1977</v>
      </c>
      <c r="AC82" s="90" t="s">
        <v>1977</v>
      </c>
      <c r="AD82" s="242">
        <v>4</v>
      </c>
      <c r="AE82" s="242">
        <v>2</v>
      </c>
      <c r="AF82" s="90" t="s">
        <v>1977</v>
      </c>
      <c r="AG82" s="90" t="s">
        <v>1977</v>
      </c>
      <c r="AH82" s="90" t="s">
        <v>1977</v>
      </c>
      <c r="AI82" s="90" t="s">
        <v>1977</v>
      </c>
      <c r="AJ82" s="90" t="s">
        <v>1977</v>
      </c>
      <c r="AK82" s="90" t="s">
        <v>1977</v>
      </c>
      <c r="AL82" s="90" t="s">
        <v>1977</v>
      </c>
      <c r="AM82" s="90" t="s">
        <v>1977</v>
      </c>
      <c r="AN82" s="90" t="s">
        <v>1977</v>
      </c>
      <c r="AO82" s="90" t="s">
        <v>1977</v>
      </c>
      <c r="AP82" s="90" t="s">
        <v>1977</v>
      </c>
      <c r="AQ82" s="90" t="s">
        <v>1977</v>
      </c>
      <c r="AR82" s="90" t="s">
        <v>1977</v>
      </c>
      <c r="AS82" s="90" t="s">
        <v>1977</v>
      </c>
      <c r="AT82" s="90" t="s">
        <v>1977</v>
      </c>
      <c r="AU82" s="90" t="s">
        <v>1977</v>
      </c>
      <c r="AV82" s="90" t="s">
        <v>1977</v>
      </c>
      <c r="AW82" s="90" t="s">
        <v>1977</v>
      </c>
      <c r="AX82" s="90">
        <v>0</v>
      </c>
      <c r="AY82" s="90">
        <f>IF(U82&gt;0,"Yes",0)</f>
        <v>0</v>
      </c>
      <c r="BA82"/>
    </row>
    <row r="83" spans="1:67">
      <c r="A83" t="s">
        <v>211</v>
      </c>
      <c r="B83" s="90" t="s">
        <v>1344</v>
      </c>
      <c r="C83" t="s">
        <v>1317</v>
      </c>
      <c r="D83" t="s">
        <v>1619</v>
      </c>
      <c r="E83" s="90">
        <v>0</v>
      </c>
      <c r="F83" s="90">
        <v>0</v>
      </c>
      <c r="G83" s="90">
        <v>0</v>
      </c>
      <c r="H83" s="90">
        <v>0</v>
      </c>
      <c r="I83" s="90">
        <v>0</v>
      </c>
      <c r="J83" s="90">
        <v>0</v>
      </c>
      <c r="K83" s="90">
        <v>0</v>
      </c>
      <c r="L83" s="90">
        <v>0</v>
      </c>
      <c r="M83" s="90">
        <v>15</v>
      </c>
      <c r="N83" s="90">
        <v>0</v>
      </c>
      <c r="O83" s="90">
        <v>2</v>
      </c>
      <c r="P83" s="90">
        <v>1</v>
      </c>
      <c r="Q83" s="90" t="s">
        <v>1943</v>
      </c>
      <c r="R83" s="90" t="s">
        <v>1943</v>
      </c>
      <c r="S83" s="90" t="s">
        <v>1943</v>
      </c>
      <c r="T83" s="90" t="s">
        <v>1943</v>
      </c>
      <c r="U83" s="90" t="s">
        <v>1943</v>
      </c>
      <c r="V83" s="90" t="s">
        <v>1943</v>
      </c>
      <c r="W83" s="168" t="s">
        <v>212</v>
      </c>
      <c r="X83" s="90" t="s">
        <v>1514</v>
      </c>
      <c r="Y83" s="90" t="s">
        <v>1977</v>
      </c>
      <c r="Z83" s="90" t="s">
        <v>1977</v>
      </c>
      <c r="AA83" s="90" t="s">
        <v>1977</v>
      </c>
      <c r="AB83" s="90" t="s">
        <v>1977</v>
      </c>
      <c r="AC83" s="90" t="s">
        <v>1977</v>
      </c>
      <c r="AD83" s="242">
        <v>10</v>
      </c>
      <c r="AE83" s="242">
        <v>10</v>
      </c>
      <c r="AF83" s="90" t="s">
        <v>1977</v>
      </c>
      <c r="AG83" s="90" t="s">
        <v>1977</v>
      </c>
      <c r="AH83" s="90" t="s">
        <v>1977</v>
      </c>
      <c r="AI83" s="90" t="s">
        <v>1977</v>
      </c>
      <c r="AJ83" s="90" t="s">
        <v>1977</v>
      </c>
      <c r="AK83" s="90" t="s">
        <v>1977</v>
      </c>
      <c r="AL83" s="90" t="s">
        <v>1977</v>
      </c>
      <c r="AM83" s="90" t="s">
        <v>1977</v>
      </c>
      <c r="AN83" s="90" t="s">
        <v>1977</v>
      </c>
      <c r="AO83" s="90" t="s">
        <v>1977</v>
      </c>
      <c r="AP83" s="90" t="s">
        <v>1977</v>
      </c>
      <c r="AQ83" s="90" t="s">
        <v>1977</v>
      </c>
      <c r="AR83" s="90" t="s">
        <v>1977</v>
      </c>
      <c r="AS83" s="90" t="s">
        <v>1977</v>
      </c>
      <c r="AT83" s="90" t="s">
        <v>1977</v>
      </c>
      <c r="AU83" s="90" t="s">
        <v>1977</v>
      </c>
      <c r="AV83" s="90" t="s">
        <v>1977</v>
      </c>
      <c r="AW83" s="90" t="s">
        <v>1977</v>
      </c>
      <c r="AX83" s="90">
        <v>55</v>
      </c>
      <c r="AY83" s="90">
        <v>0</v>
      </c>
      <c r="AZ83" t="s">
        <v>324</v>
      </c>
      <c r="BA83" t="s">
        <v>210</v>
      </c>
      <c r="BB83" t="s">
        <v>211</v>
      </c>
      <c r="BC83" t="s">
        <v>1317</v>
      </c>
      <c r="BD83" t="s">
        <v>1344</v>
      </c>
      <c r="BE83" t="s">
        <v>1619</v>
      </c>
      <c r="BF83">
        <v>2</v>
      </c>
      <c r="BG83" t="s">
        <v>330</v>
      </c>
      <c r="BH83">
        <v>100</v>
      </c>
      <c r="BI83">
        <v>55</v>
      </c>
      <c r="BJ83" t="s">
        <v>1943</v>
      </c>
      <c r="BK83">
        <v>0</v>
      </c>
      <c r="BL83">
        <v>4</v>
      </c>
      <c r="BM83">
        <v>10</v>
      </c>
      <c r="BN83">
        <v>4</v>
      </c>
      <c r="BO83">
        <v>0</v>
      </c>
    </row>
    <row r="84" spans="1:67">
      <c r="A84" t="s">
        <v>8</v>
      </c>
      <c r="B84" s="90" t="s">
        <v>1000</v>
      </c>
      <c r="C84" t="s">
        <v>1022</v>
      </c>
      <c r="D84" t="s">
        <v>2003</v>
      </c>
      <c r="E84" s="90">
        <v>0</v>
      </c>
      <c r="F84" s="90">
        <v>0</v>
      </c>
      <c r="G84" s="90">
        <v>0</v>
      </c>
      <c r="H84" s="90">
        <v>0</v>
      </c>
      <c r="I84" s="90">
        <v>0</v>
      </c>
      <c r="J84" s="90">
        <v>0</v>
      </c>
      <c r="K84" s="90">
        <v>0</v>
      </c>
      <c r="L84" s="90">
        <v>0</v>
      </c>
      <c r="M84" s="90">
        <v>15</v>
      </c>
      <c r="N84" s="90">
        <v>0</v>
      </c>
      <c r="O84" s="90">
        <v>8</v>
      </c>
      <c r="P84" s="90">
        <v>-3</v>
      </c>
      <c r="Q84" s="90" t="s">
        <v>322</v>
      </c>
      <c r="R84" s="90" t="s">
        <v>322</v>
      </c>
      <c r="S84" s="90" t="s">
        <v>322</v>
      </c>
      <c r="T84" s="90" t="s">
        <v>322</v>
      </c>
      <c r="U84" s="90" t="s">
        <v>322</v>
      </c>
      <c r="V84" s="90" t="s">
        <v>322</v>
      </c>
      <c r="W84" s="168" t="s">
        <v>9</v>
      </c>
      <c r="X84" s="90" t="s">
        <v>1514</v>
      </c>
      <c r="Y84" s="90" t="s">
        <v>1977</v>
      </c>
      <c r="Z84" s="90" t="s">
        <v>1977</v>
      </c>
      <c r="AA84" s="90" t="s">
        <v>1977</v>
      </c>
      <c r="AB84" s="90" t="s">
        <v>1977</v>
      </c>
      <c r="AC84" s="90" t="s">
        <v>1977</v>
      </c>
      <c r="AD84" s="242">
        <v>15</v>
      </c>
      <c r="AE84" s="242">
        <v>15</v>
      </c>
      <c r="AF84" s="90" t="s">
        <v>1977</v>
      </c>
      <c r="AG84" s="90" t="s">
        <v>1977</v>
      </c>
      <c r="AH84" s="90" t="s">
        <v>1977</v>
      </c>
      <c r="AI84" s="90" t="s">
        <v>1977</v>
      </c>
      <c r="AJ84" s="90" t="s">
        <v>1977</v>
      </c>
      <c r="AK84" s="90" t="s">
        <v>1977</v>
      </c>
      <c r="AL84" s="90" t="s">
        <v>1977</v>
      </c>
      <c r="AM84" s="90" t="s">
        <v>1977</v>
      </c>
      <c r="AN84" s="90" t="s">
        <v>1977</v>
      </c>
      <c r="AO84" s="90" t="s">
        <v>1977</v>
      </c>
      <c r="AP84" s="90" t="s">
        <v>1977</v>
      </c>
      <c r="AQ84" s="90" t="s">
        <v>1977</v>
      </c>
      <c r="AR84" s="90" t="s">
        <v>1977</v>
      </c>
      <c r="AS84" s="90" t="s">
        <v>1977</v>
      </c>
      <c r="AT84" s="90" t="s">
        <v>1977</v>
      </c>
      <c r="AU84" s="90" t="s">
        <v>1977</v>
      </c>
      <c r="AV84" s="90" t="s">
        <v>1977</v>
      </c>
      <c r="AW84" s="90" t="s">
        <v>1977</v>
      </c>
      <c r="AX84" s="90">
        <v>95</v>
      </c>
      <c r="AY84" s="90">
        <v>0</v>
      </c>
      <c r="AZ84" t="s">
        <v>324</v>
      </c>
      <c r="BA84" t="s">
        <v>10</v>
      </c>
      <c r="BB84" t="s">
        <v>8</v>
      </c>
      <c r="BC84" t="s">
        <v>1022</v>
      </c>
      <c r="BD84" t="s">
        <v>1000</v>
      </c>
      <c r="BE84" t="s">
        <v>2003</v>
      </c>
      <c r="BF84">
        <v>8</v>
      </c>
      <c r="BG84" t="s">
        <v>1384</v>
      </c>
      <c r="BH84">
        <v>30</v>
      </c>
      <c r="BI84">
        <v>95</v>
      </c>
      <c r="BJ84" t="s">
        <v>322</v>
      </c>
      <c r="BK84">
        <v>-2</v>
      </c>
      <c r="BL84">
        <v>2</v>
      </c>
      <c r="BM84">
        <v>3</v>
      </c>
      <c r="BN84">
        <v>2</v>
      </c>
      <c r="BO84">
        <v>-5</v>
      </c>
    </row>
    <row r="85" spans="1:67">
      <c r="A85" t="s">
        <v>333</v>
      </c>
      <c r="B85" s="90" t="s">
        <v>334</v>
      </c>
      <c r="C85" t="s">
        <v>1022</v>
      </c>
      <c r="D85" t="s">
        <v>1098</v>
      </c>
      <c r="E85" s="90">
        <v>0</v>
      </c>
      <c r="F85" s="90">
        <v>0</v>
      </c>
      <c r="G85" s="90">
        <v>0</v>
      </c>
      <c r="H85" s="90">
        <v>0</v>
      </c>
      <c r="I85" s="90">
        <v>0</v>
      </c>
      <c r="J85" s="90">
        <v>0</v>
      </c>
      <c r="K85" s="90">
        <v>0</v>
      </c>
      <c r="L85" s="90">
        <v>0</v>
      </c>
      <c r="M85" s="90">
        <v>15</v>
      </c>
      <c r="N85" s="90">
        <v>0</v>
      </c>
      <c r="O85" s="90">
        <v>1</v>
      </c>
      <c r="P85" s="90">
        <v>-3</v>
      </c>
      <c r="Q85" s="90" t="s">
        <v>1943</v>
      </c>
      <c r="R85" s="90" t="s">
        <v>1943</v>
      </c>
      <c r="S85" s="90" t="s">
        <v>1943</v>
      </c>
      <c r="T85" s="90" t="s">
        <v>1943</v>
      </c>
      <c r="U85" s="90" t="s">
        <v>1943</v>
      </c>
      <c r="V85" s="90" t="s">
        <v>1943</v>
      </c>
      <c r="W85" s="168" t="s">
        <v>335</v>
      </c>
      <c r="X85" s="90" t="s">
        <v>2278</v>
      </c>
      <c r="Y85" s="90" t="s">
        <v>2278</v>
      </c>
      <c r="Z85" s="90" t="s">
        <v>1514</v>
      </c>
      <c r="AA85" s="90" t="s">
        <v>1977</v>
      </c>
      <c r="AB85" s="90" t="s">
        <v>1977</v>
      </c>
      <c r="AC85" s="90" t="s">
        <v>1977</v>
      </c>
      <c r="AD85" s="242">
        <v>10</v>
      </c>
      <c r="AE85" s="242">
        <v>10</v>
      </c>
      <c r="AF85" s="90" t="s">
        <v>1977</v>
      </c>
      <c r="AG85" s="90" t="s">
        <v>1977</v>
      </c>
      <c r="AH85" s="90" t="s">
        <v>1977</v>
      </c>
      <c r="AI85" s="90" t="s">
        <v>1977</v>
      </c>
      <c r="AJ85" s="90" t="s">
        <v>1977</v>
      </c>
      <c r="AK85" s="90" t="s">
        <v>1977</v>
      </c>
      <c r="AL85" s="90" t="s">
        <v>1977</v>
      </c>
      <c r="AM85" s="90" t="s">
        <v>1977</v>
      </c>
      <c r="AN85" s="90" t="s">
        <v>1977</v>
      </c>
      <c r="AO85" s="90" t="s">
        <v>1977</v>
      </c>
      <c r="AP85" s="90" t="s">
        <v>1977</v>
      </c>
      <c r="AQ85" s="90" t="s">
        <v>1977</v>
      </c>
      <c r="AR85" s="90" t="s">
        <v>1977</v>
      </c>
      <c r="AS85" s="90" t="s">
        <v>1977</v>
      </c>
      <c r="AT85" s="90" t="s">
        <v>1977</v>
      </c>
      <c r="AU85" s="90" t="s">
        <v>1977</v>
      </c>
      <c r="AV85" s="90" t="s">
        <v>1977</v>
      </c>
      <c r="AW85" s="90" t="s">
        <v>1977</v>
      </c>
      <c r="AX85" s="90">
        <v>100</v>
      </c>
      <c r="AY85" s="90">
        <v>0</v>
      </c>
      <c r="AZ85" t="s">
        <v>336</v>
      </c>
      <c r="BA85" t="s">
        <v>337</v>
      </c>
      <c r="BB85" t="s">
        <v>333</v>
      </c>
      <c r="BC85" t="s">
        <v>1022</v>
      </c>
      <c r="BD85" t="s">
        <v>334</v>
      </c>
      <c r="BE85" t="s">
        <v>1098</v>
      </c>
      <c r="BF85">
        <v>1</v>
      </c>
      <c r="BG85" t="s">
        <v>330</v>
      </c>
      <c r="BH85">
        <v>20</v>
      </c>
      <c r="BI85">
        <v>100</v>
      </c>
      <c r="BJ85" t="s">
        <v>1943</v>
      </c>
      <c r="BK85">
        <v>-3</v>
      </c>
      <c r="BL85">
        <v>1</v>
      </c>
      <c r="BM85">
        <v>2</v>
      </c>
      <c r="BN85">
        <v>20</v>
      </c>
      <c r="BO85">
        <v>-6</v>
      </c>
    </row>
    <row r="86" spans="1:67">
      <c r="A86" t="s">
        <v>240</v>
      </c>
      <c r="B86" s="90">
        <v>1</v>
      </c>
      <c r="C86" t="s">
        <v>1022</v>
      </c>
      <c r="D86" t="s">
        <v>2003</v>
      </c>
      <c r="E86" s="90">
        <v>0</v>
      </c>
      <c r="F86" s="90">
        <v>0</v>
      </c>
      <c r="G86" s="90">
        <v>0</v>
      </c>
      <c r="H86" s="90">
        <v>0</v>
      </c>
      <c r="I86" s="90">
        <v>0</v>
      </c>
      <c r="J86" s="90">
        <v>0</v>
      </c>
      <c r="K86" s="90">
        <v>0</v>
      </c>
      <c r="L86" s="90">
        <v>0</v>
      </c>
      <c r="M86" s="90">
        <v>15</v>
      </c>
      <c r="N86" s="90">
        <v>0</v>
      </c>
      <c r="O86" s="90">
        <v>7</v>
      </c>
      <c r="P86" s="90">
        <v>2</v>
      </c>
      <c r="Q86" s="90" t="s">
        <v>1943</v>
      </c>
      <c r="R86" s="90" t="s">
        <v>1943</v>
      </c>
      <c r="S86" s="90" t="s">
        <v>1943</v>
      </c>
      <c r="T86" s="90" t="s">
        <v>1943</v>
      </c>
      <c r="U86" s="90" t="s">
        <v>1943</v>
      </c>
      <c r="V86" s="90" t="s">
        <v>1943</v>
      </c>
      <c r="W86" s="168" t="s">
        <v>241</v>
      </c>
      <c r="X86" s="90" t="s">
        <v>1980</v>
      </c>
      <c r="Y86" s="90" t="s">
        <v>1977</v>
      </c>
      <c r="Z86" s="90" t="s">
        <v>1977</v>
      </c>
      <c r="AA86" s="90" t="s">
        <v>1977</v>
      </c>
      <c r="AB86" s="90" t="s">
        <v>1977</v>
      </c>
      <c r="AC86" s="90" t="s">
        <v>1977</v>
      </c>
      <c r="AD86" s="242">
        <v>10</v>
      </c>
      <c r="AE86" s="242">
        <v>10</v>
      </c>
      <c r="AF86" s="90" t="s">
        <v>1977</v>
      </c>
      <c r="AG86" s="90" t="s">
        <v>1977</v>
      </c>
      <c r="AH86" s="90" t="s">
        <v>1977</v>
      </c>
      <c r="AI86" s="90" t="s">
        <v>1977</v>
      </c>
      <c r="AJ86" s="90" t="s">
        <v>1977</v>
      </c>
      <c r="AK86" s="90" t="s">
        <v>1977</v>
      </c>
      <c r="AL86" s="90" t="s">
        <v>1977</v>
      </c>
      <c r="AM86" s="90" t="s">
        <v>1977</v>
      </c>
      <c r="AN86" s="90" t="s">
        <v>1977</v>
      </c>
      <c r="AO86" s="90" t="s">
        <v>1977</v>
      </c>
      <c r="AP86" s="90" t="s">
        <v>1977</v>
      </c>
      <c r="AQ86" s="90" t="s">
        <v>1977</v>
      </c>
      <c r="AR86" s="90" t="s">
        <v>1977</v>
      </c>
      <c r="AS86" s="90" t="s">
        <v>1977</v>
      </c>
      <c r="AT86" s="90" t="s">
        <v>1977</v>
      </c>
      <c r="AU86" s="90" t="s">
        <v>1977</v>
      </c>
      <c r="AV86" s="90" t="s">
        <v>1977</v>
      </c>
      <c r="AW86" s="90" t="s">
        <v>1977</v>
      </c>
      <c r="AX86" s="90">
        <v>75</v>
      </c>
      <c r="AY86" s="90">
        <v>0</v>
      </c>
      <c r="AZ86" t="s">
        <v>312</v>
      </c>
      <c r="BA86" t="s">
        <v>231</v>
      </c>
      <c r="BB86" t="s">
        <v>240</v>
      </c>
      <c r="BC86" t="s">
        <v>1022</v>
      </c>
      <c r="BD86">
        <v>1</v>
      </c>
      <c r="BE86" t="s">
        <v>2003</v>
      </c>
      <c r="BF86">
        <v>7</v>
      </c>
      <c r="BG86" t="s">
        <v>330</v>
      </c>
      <c r="BH86">
        <v>300</v>
      </c>
      <c r="BI86">
        <v>75</v>
      </c>
      <c r="BJ86" t="s">
        <v>1943</v>
      </c>
      <c r="BK86">
        <v>0</v>
      </c>
      <c r="BL86">
        <v>10</v>
      </c>
      <c r="BM86">
        <v>6</v>
      </c>
      <c r="BN86">
        <v>8</v>
      </c>
      <c r="BO86">
        <v>0</v>
      </c>
    </row>
    <row r="87" spans="1:67">
      <c r="A87" t="s">
        <v>254</v>
      </c>
      <c r="B87" s="90">
        <v>1</v>
      </c>
      <c r="C87" t="s">
        <v>1022</v>
      </c>
      <c r="D87" t="s">
        <v>1109</v>
      </c>
      <c r="E87" s="90">
        <v>0</v>
      </c>
      <c r="F87" s="90">
        <v>0</v>
      </c>
      <c r="G87" s="90">
        <v>0</v>
      </c>
      <c r="H87" s="90">
        <v>0</v>
      </c>
      <c r="I87" s="90">
        <v>0</v>
      </c>
      <c r="J87" s="90">
        <v>0</v>
      </c>
      <c r="K87" s="90">
        <v>0</v>
      </c>
      <c r="L87" s="90">
        <v>0</v>
      </c>
      <c r="M87" s="90">
        <v>15</v>
      </c>
      <c r="N87" s="90">
        <v>0</v>
      </c>
      <c r="O87" s="90">
        <v>9</v>
      </c>
      <c r="P87" s="90">
        <v>1</v>
      </c>
      <c r="Q87" s="90" t="s">
        <v>322</v>
      </c>
      <c r="R87" s="90" t="s">
        <v>322</v>
      </c>
      <c r="S87" s="90" t="s">
        <v>322</v>
      </c>
      <c r="T87" s="90" t="s">
        <v>322</v>
      </c>
      <c r="U87" s="90" t="s">
        <v>322</v>
      </c>
      <c r="V87" s="90" t="s">
        <v>322</v>
      </c>
      <c r="W87" s="168" t="s">
        <v>255</v>
      </c>
      <c r="X87" s="90" t="s">
        <v>1514</v>
      </c>
      <c r="Y87" s="90" t="s">
        <v>1977</v>
      </c>
      <c r="Z87" s="90" t="s">
        <v>1977</v>
      </c>
      <c r="AA87" s="90" t="s">
        <v>1977</v>
      </c>
      <c r="AB87" s="90" t="s">
        <v>1977</v>
      </c>
      <c r="AC87" s="90" t="s">
        <v>1977</v>
      </c>
      <c r="AD87" s="242">
        <v>15</v>
      </c>
      <c r="AE87" s="242">
        <v>15</v>
      </c>
      <c r="AF87" s="90" t="s">
        <v>1977</v>
      </c>
      <c r="AG87" s="90" t="s">
        <v>1977</v>
      </c>
      <c r="AH87" s="242" t="s">
        <v>2368</v>
      </c>
      <c r="AI87" s="90" t="s">
        <v>1977</v>
      </c>
      <c r="AJ87" s="90" t="s">
        <v>1977</v>
      </c>
      <c r="AK87" s="90" t="s">
        <v>1977</v>
      </c>
      <c r="AL87" s="90" t="s">
        <v>1977</v>
      </c>
      <c r="AM87" s="90" t="s">
        <v>1977</v>
      </c>
      <c r="AN87" s="90" t="s">
        <v>1977</v>
      </c>
      <c r="AO87" s="90" t="s">
        <v>1977</v>
      </c>
      <c r="AP87" s="90" t="s">
        <v>1977</v>
      </c>
      <c r="AQ87" s="90" t="s">
        <v>1977</v>
      </c>
      <c r="AR87" s="90" t="s">
        <v>1977</v>
      </c>
      <c r="AS87" s="90" t="s">
        <v>1977</v>
      </c>
      <c r="AT87" s="90" t="s">
        <v>1977</v>
      </c>
      <c r="AU87" s="90" t="s">
        <v>1977</v>
      </c>
      <c r="AV87" s="90" t="s">
        <v>1977</v>
      </c>
      <c r="AW87" s="90" t="s">
        <v>1977</v>
      </c>
      <c r="AX87" s="90">
        <v>75</v>
      </c>
      <c r="AY87" s="90">
        <v>0</v>
      </c>
      <c r="AZ87" t="s">
        <v>324</v>
      </c>
      <c r="BA87" t="s">
        <v>256</v>
      </c>
      <c r="BB87" t="s">
        <v>254</v>
      </c>
      <c r="BC87" t="s">
        <v>1022</v>
      </c>
      <c r="BD87">
        <v>1</v>
      </c>
      <c r="BE87" t="s">
        <v>1109</v>
      </c>
      <c r="BF87">
        <v>9</v>
      </c>
      <c r="BG87" t="s">
        <v>1384</v>
      </c>
      <c r="BH87">
        <v>150</v>
      </c>
      <c r="BI87">
        <v>75</v>
      </c>
      <c r="BJ87" t="s">
        <v>322</v>
      </c>
      <c r="BK87">
        <v>0</v>
      </c>
      <c r="BL87">
        <v>6</v>
      </c>
      <c r="BM87">
        <v>12</v>
      </c>
      <c r="BN87">
        <v>4</v>
      </c>
      <c r="BO87">
        <v>0</v>
      </c>
    </row>
    <row r="88" spans="1:67">
      <c r="A88" t="s">
        <v>17</v>
      </c>
      <c r="B88" s="90">
        <v>1</v>
      </c>
      <c r="C88" t="s">
        <v>1022</v>
      </c>
      <c r="D88" t="s">
        <v>2003</v>
      </c>
      <c r="E88" s="90">
        <v>0</v>
      </c>
      <c r="F88" s="90">
        <v>0</v>
      </c>
      <c r="G88" s="90">
        <v>0</v>
      </c>
      <c r="H88" s="90">
        <v>0</v>
      </c>
      <c r="I88" s="90">
        <v>0</v>
      </c>
      <c r="J88" s="90">
        <v>0</v>
      </c>
      <c r="K88" s="90">
        <v>0</v>
      </c>
      <c r="L88" s="90">
        <v>0</v>
      </c>
      <c r="M88" s="90">
        <v>15</v>
      </c>
      <c r="N88" s="90">
        <v>0</v>
      </c>
      <c r="O88" s="90">
        <v>4</v>
      </c>
      <c r="P88" s="90">
        <v>-5</v>
      </c>
      <c r="Q88" s="90" t="s">
        <v>322</v>
      </c>
      <c r="R88" s="90" t="s">
        <v>322</v>
      </c>
      <c r="S88" s="90" t="s">
        <v>322</v>
      </c>
      <c r="T88" s="90" t="s">
        <v>322</v>
      </c>
      <c r="U88" s="90" t="s">
        <v>322</v>
      </c>
      <c r="V88" s="90" t="s">
        <v>322</v>
      </c>
      <c r="W88" s="168" t="s">
        <v>7</v>
      </c>
      <c r="X88" s="90" t="s">
        <v>1514</v>
      </c>
      <c r="Y88" s="90" t="s">
        <v>1977</v>
      </c>
      <c r="Z88" s="90" t="s">
        <v>1977</v>
      </c>
      <c r="AA88" s="90" t="s">
        <v>1977</v>
      </c>
      <c r="AB88" s="90" t="s">
        <v>1977</v>
      </c>
      <c r="AC88" s="90" t="s">
        <v>1977</v>
      </c>
      <c r="AD88" s="242">
        <v>15</v>
      </c>
      <c r="AE88" s="242">
        <v>15</v>
      </c>
      <c r="AF88" s="90" t="s">
        <v>1977</v>
      </c>
      <c r="AG88" s="90" t="s">
        <v>1977</v>
      </c>
      <c r="AH88" s="90" t="s">
        <v>1977</v>
      </c>
      <c r="AI88" s="90" t="s">
        <v>1977</v>
      </c>
      <c r="AJ88" s="90" t="s">
        <v>1977</v>
      </c>
      <c r="AK88" s="90" t="s">
        <v>1977</v>
      </c>
      <c r="AL88" s="90" t="s">
        <v>1977</v>
      </c>
      <c r="AM88" s="90" t="s">
        <v>1977</v>
      </c>
      <c r="AN88" s="90" t="s">
        <v>1977</v>
      </c>
      <c r="AO88" s="90" t="s">
        <v>1977</v>
      </c>
      <c r="AP88" s="90" t="s">
        <v>1977</v>
      </c>
      <c r="AQ88" s="90" t="s">
        <v>1977</v>
      </c>
      <c r="AR88" s="90" t="s">
        <v>1977</v>
      </c>
      <c r="AS88" s="90" t="s">
        <v>1977</v>
      </c>
      <c r="AT88" s="90" t="s">
        <v>1977</v>
      </c>
      <c r="AU88" s="90" t="s">
        <v>1977</v>
      </c>
      <c r="AV88" s="90" t="s">
        <v>1977</v>
      </c>
      <c r="AW88" s="90" t="s">
        <v>1977</v>
      </c>
      <c r="AX88" s="90">
        <v>115</v>
      </c>
      <c r="AY88" s="90">
        <v>0</v>
      </c>
      <c r="AZ88" t="s">
        <v>324</v>
      </c>
      <c r="BA88" t="s">
        <v>14</v>
      </c>
      <c r="BB88" t="s">
        <v>17</v>
      </c>
      <c r="BC88" t="s">
        <v>1022</v>
      </c>
      <c r="BD88">
        <v>1</v>
      </c>
      <c r="BE88" t="s">
        <v>2003</v>
      </c>
      <c r="BF88">
        <v>4</v>
      </c>
      <c r="BG88" t="s">
        <v>1384</v>
      </c>
      <c r="BH88">
        <v>10</v>
      </c>
      <c r="BI88">
        <v>115</v>
      </c>
      <c r="BJ88" t="s">
        <v>322</v>
      </c>
      <c r="BK88">
        <v>0</v>
      </c>
      <c r="BL88">
        <v>2</v>
      </c>
      <c r="BM88">
        <v>4</v>
      </c>
      <c r="BN88">
        <v>-5</v>
      </c>
      <c r="BO88">
        <v>0</v>
      </c>
    </row>
    <row r="89" spans="1:67">
      <c r="A89" t="s">
        <v>242</v>
      </c>
      <c r="B89" s="90">
        <v>1</v>
      </c>
      <c r="C89" t="s">
        <v>1022</v>
      </c>
      <c r="D89" t="s">
        <v>2003</v>
      </c>
      <c r="E89" s="90">
        <v>0</v>
      </c>
      <c r="F89" s="90">
        <v>0</v>
      </c>
      <c r="G89" s="90">
        <v>0</v>
      </c>
      <c r="H89" s="90">
        <v>0</v>
      </c>
      <c r="I89" s="90">
        <v>0</v>
      </c>
      <c r="J89" s="90">
        <v>0</v>
      </c>
      <c r="K89" s="90">
        <v>0</v>
      </c>
      <c r="L89" s="90">
        <v>0</v>
      </c>
      <c r="M89" s="90">
        <v>15</v>
      </c>
      <c r="N89" s="90">
        <v>0</v>
      </c>
      <c r="O89" s="90">
        <v>5</v>
      </c>
      <c r="P89" s="90">
        <v>3</v>
      </c>
      <c r="Q89" s="90" t="s">
        <v>1943</v>
      </c>
      <c r="R89" s="90" t="s">
        <v>1943</v>
      </c>
      <c r="S89" s="90" t="s">
        <v>1943</v>
      </c>
      <c r="T89" s="90" t="s">
        <v>1943</v>
      </c>
      <c r="U89" s="90" t="s">
        <v>1943</v>
      </c>
      <c r="V89" s="90" t="s">
        <v>1943</v>
      </c>
      <c r="W89" s="168" t="s">
        <v>243</v>
      </c>
      <c r="X89" s="90" t="s">
        <v>1514</v>
      </c>
      <c r="Y89" s="90" t="s">
        <v>2278</v>
      </c>
      <c r="Z89" s="90" t="s">
        <v>2278</v>
      </c>
      <c r="AA89" s="90" t="s">
        <v>1977</v>
      </c>
      <c r="AB89" s="90" t="s">
        <v>1977</v>
      </c>
      <c r="AC89" s="90" t="s">
        <v>1977</v>
      </c>
      <c r="AD89" s="242">
        <v>15</v>
      </c>
      <c r="AE89" s="242">
        <v>15</v>
      </c>
      <c r="AF89" s="90" t="s">
        <v>1977</v>
      </c>
      <c r="AG89" s="90" t="s">
        <v>1977</v>
      </c>
      <c r="AH89" s="90" t="s">
        <v>1977</v>
      </c>
      <c r="AI89" s="90" t="s">
        <v>1977</v>
      </c>
      <c r="AJ89" s="90" t="s">
        <v>1977</v>
      </c>
      <c r="AK89" s="90" t="s">
        <v>1977</v>
      </c>
      <c r="AL89" s="90" t="s">
        <v>1977</v>
      </c>
      <c r="AM89" s="90" t="s">
        <v>1977</v>
      </c>
      <c r="AN89" s="90" t="s">
        <v>1977</v>
      </c>
      <c r="AO89" s="90" t="s">
        <v>1977</v>
      </c>
      <c r="AP89" s="90" t="s">
        <v>1977</v>
      </c>
      <c r="AQ89" s="90" t="s">
        <v>1977</v>
      </c>
      <c r="AR89" s="90" t="s">
        <v>1977</v>
      </c>
      <c r="AS89" s="90" t="s">
        <v>1977</v>
      </c>
      <c r="AT89" s="90" t="s">
        <v>1977</v>
      </c>
      <c r="AU89" s="90" t="s">
        <v>1977</v>
      </c>
      <c r="AV89" s="90" t="s">
        <v>1977</v>
      </c>
      <c r="AW89" s="90" t="s">
        <v>1977</v>
      </c>
      <c r="AX89" s="90">
        <v>65</v>
      </c>
      <c r="AY89" s="90">
        <v>0</v>
      </c>
      <c r="AZ89" t="s">
        <v>312</v>
      </c>
      <c r="BA89" t="s">
        <v>231</v>
      </c>
      <c r="BB89" t="s">
        <v>242</v>
      </c>
      <c r="BC89" t="s">
        <v>1022</v>
      </c>
      <c r="BD89">
        <v>1</v>
      </c>
      <c r="BE89" t="s">
        <v>2003</v>
      </c>
      <c r="BF89">
        <v>5</v>
      </c>
      <c r="BG89" t="s">
        <v>1384</v>
      </c>
      <c r="BH89">
        <v>500</v>
      </c>
      <c r="BI89">
        <v>65</v>
      </c>
      <c r="BJ89" t="s">
        <v>1943</v>
      </c>
      <c r="BK89">
        <v>0</v>
      </c>
      <c r="BL89">
        <v>10</v>
      </c>
      <c r="BM89">
        <v>12</v>
      </c>
      <c r="BN89">
        <v>10</v>
      </c>
      <c r="BO89">
        <v>1</v>
      </c>
    </row>
    <row r="90" spans="1:67">
      <c r="A90" t="s">
        <v>51</v>
      </c>
      <c r="B90" s="90" t="s">
        <v>258</v>
      </c>
      <c r="C90" t="s">
        <v>1022</v>
      </c>
      <c r="D90" t="s">
        <v>1109</v>
      </c>
      <c r="E90" s="90">
        <v>0</v>
      </c>
      <c r="F90" s="90">
        <v>0</v>
      </c>
      <c r="G90" s="90">
        <v>0</v>
      </c>
      <c r="H90" s="90">
        <v>0</v>
      </c>
      <c r="I90" s="90">
        <v>0</v>
      </c>
      <c r="J90" s="90">
        <v>0</v>
      </c>
      <c r="K90" s="90">
        <v>0</v>
      </c>
      <c r="L90" s="90">
        <v>0</v>
      </c>
      <c r="M90" s="90">
        <v>15</v>
      </c>
      <c r="N90" s="90">
        <v>0</v>
      </c>
      <c r="O90" s="90">
        <v>6</v>
      </c>
      <c r="P90" s="90">
        <v>0</v>
      </c>
      <c r="Q90" s="90" t="s">
        <v>1943</v>
      </c>
      <c r="R90" s="90" t="s">
        <v>1943</v>
      </c>
      <c r="S90" s="90" t="s">
        <v>1943</v>
      </c>
      <c r="T90" s="90" t="s">
        <v>1943</v>
      </c>
      <c r="U90" s="90" t="s">
        <v>1943</v>
      </c>
      <c r="V90" s="90" t="s">
        <v>1943</v>
      </c>
      <c r="W90" s="168" t="s">
        <v>52</v>
      </c>
      <c r="X90" s="90" t="s">
        <v>1514</v>
      </c>
      <c r="Y90" s="90" t="s">
        <v>2278</v>
      </c>
      <c r="Z90" s="90" t="s">
        <v>2278</v>
      </c>
      <c r="AA90" s="90" t="s">
        <v>1977</v>
      </c>
      <c r="AB90" s="90" t="s">
        <v>1977</v>
      </c>
      <c r="AC90" s="90" t="s">
        <v>1977</v>
      </c>
      <c r="AD90" s="242">
        <v>10</v>
      </c>
      <c r="AE90" s="242">
        <v>10</v>
      </c>
      <c r="AF90" s="242" t="s">
        <v>1855</v>
      </c>
      <c r="AG90" s="90" t="s">
        <v>1977</v>
      </c>
      <c r="AH90" s="90" t="s">
        <v>1977</v>
      </c>
      <c r="AI90" s="90" t="s">
        <v>1977</v>
      </c>
      <c r="AJ90" s="90" t="s">
        <v>1977</v>
      </c>
      <c r="AK90" s="90" t="s">
        <v>1977</v>
      </c>
      <c r="AL90" s="90" t="s">
        <v>1977</v>
      </c>
      <c r="AM90" s="90" t="s">
        <v>1977</v>
      </c>
      <c r="AN90" s="90" t="s">
        <v>1977</v>
      </c>
      <c r="AO90" s="90" t="s">
        <v>1977</v>
      </c>
      <c r="AP90" s="90" t="s">
        <v>1977</v>
      </c>
      <c r="AQ90" s="90" t="s">
        <v>1977</v>
      </c>
      <c r="AR90" s="90" t="s">
        <v>1977</v>
      </c>
      <c r="AS90" s="90" t="s">
        <v>1977</v>
      </c>
      <c r="AT90" s="90" t="s">
        <v>1977</v>
      </c>
      <c r="AU90" s="90" t="s">
        <v>1977</v>
      </c>
      <c r="AV90" s="90" t="s">
        <v>1977</v>
      </c>
      <c r="AW90" s="90" t="s">
        <v>1977</v>
      </c>
      <c r="AX90" s="90">
        <v>75</v>
      </c>
      <c r="AY90" s="90">
        <v>0</v>
      </c>
      <c r="AZ90" t="s">
        <v>91</v>
      </c>
      <c r="BA90" t="s">
        <v>53</v>
      </c>
      <c r="BB90" t="s">
        <v>51</v>
      </c>
      <c r="BC90" t="s">
        <v>1022</v>
      </c>
      <c r="BD90" t="s">
        <v>258</v>
      </c>
      <c r="BE90" t="s">
        <v>1109</v>
      </c>
      <c r="BF90">
        <v>6</v>
      </c>
      <c r="BG90" t="s">
        <v>330</v>
      </c>
      <c r="BH90">
        <v>80</v>
      </c>
      <c r="BI90">
        <v>75</v>
      </c>
      <c r="BJ90" t="s">
        <v>1943</v>
      </c>
      <c r="BK90">
        <v>0</v>
      </c>
      <c r="BL90">
        <v>3</v>
      </c>
      <c r="BM90">
        <v>6</v>
      </c>
      <c r="BN90">
        <v>2</v>
      </c>
      <c r="BO90">
        <v>0</v>
      </c>
    </row>
    <row r="91" spans="1:67">
      <c r="A91" t="s">
        <v>54</v>
      </c>
      <c r="B91" s="90" t="s">
        <v>1344</v>
      </c>
      <c r="C91" t="s">
        <v>1022</v>
      </c>
      <c r="D91" t="s">
        <v>1109</v>
      </c>
      <c r="E91" s="90">
        <v>0</v>
      </c>
      <c r="F91" s="90">
        <v>0</v>
      </c>
      <c r="G91" s="90">
        <v>0</v>
      </c>
      <c r="H91" s="90">
        <v>0</v>
      </c>
      <c r="I91" s="90">
        <v>0</v>
      </c>
      <c r="J91" s="90">
        <v>0</v>
      </c>
      <c r="K91" s="90">
        <v>0</v>
      </c>
      <c r="L91" s="90">
        <v>0</v>
      </c>
      <c r="M91" s="90">
        <v>15</v>
      </c>
      <c r="N91" s="90">
        <v>0</v>
      </c>
      <c r="O91" s="90">
        <v>6</v>
      </c>
      <c r="P91" s="90">
        <v>0</v>
      </c>
      <c r="Q91" s="90" t="s">
        <v>1943</v>
      </c>
      <c r="R91" s="90" t="s">
        <v>1943</v>
      </c>
      <c r="S91" s="90" t="s">
        <v>1943</v>
      </c>
      <c r="T91" s="90" t="s">
        <v>1943</v>
      </c>
      <c r="U91" s="90" t="s">
        <v>1943</v>
      </c>
      <c r="V91" s="90" t="s">
        <v>1943</v>
      </c>
      <c r="W91" s="168" t="s">
        <v>55</v>
      </c>
      <c r="X91" s="90" t="s">
        <v>1514</v>
      </c>
      <c r="Y91" s="90" t="s">
        <v>2278</v>
      </c>
      <c r="Z91" s="90" t="s">
        <v>2278</v>
      </c>
      <c r="AA91" s="90" t="s">
        <v>1977</v>
      </c>
      <c r="AB91" s="90" t="s">
        <v>1977</v>
      </c>
      <c r="AC91" s="90" t="s">
        <v>1977</v>
      </c>
      <c r="AD91" s="242">
        <v>10</v>
      </c>
      <c r="AE91" s="242">
        <v>10</v>
      </c>
      <c r="AF91" s="90" t="s">
        <v>1977</v>
      </c>
      <c r="AG91" s="90" t="s">
        <v>1977</v>
      </c>
      <c r="AH91" s="90" t="s">
        <v>1977</v>
      </c>
      <c r="AI91" s="90" t="s">
        <v>1977</v>
      </c>
      <c r="AJ91" s="90" t="s">
        <v>1977</v>
      </c>
      <c r="AK91" s="90" t="s">
        <v>1977</v>
      </c>
      <c r="AL91" s="90" t="s">
        <v>1977</v>
      </c>
      <c r="AM91" s="90" t="s">
        <v>1977</v>
      </c>
      <c r="AN91" s="90" t="s">
        <v>1977</v>
      </c>
      <c r="AO91" s="90" t="s">
        <v>1977</v>
      </c>
      <c r="AP91" s="90" t="s">
        <v>1977</v>
      </c>
      <c r="AQ91" s="90" t="s">
        <v>1977</v>
      </c>
      <c r="AR91" s="90" t="s">
        <v>1977</v>
      </c>
      <c r="AS91" s="90" t="s">
        <v>1977</v>
      </c>
      <c r="AT91" s="90" t="s">
        <v>1977</v>
      </c>
      <c r="AU91" s="90" t="s">
        <v>1977</v>
      </c>
      <c r="AV91" s="90" t="s">
        <v>1977</v>
      </c>
      <c r="AW91" s="90" t="s">
        <v>1977</v>
      </c>
      <c r="AX91" s="90">
        <v>75</v>
      </c>
      <c r="AY91" s="90">
        <v>0</v>
      </c>
      <c r="AZ91" t="s">
        <v>91</v>
      </c>
      <c r="BA91" t="s">
        <v>53</v>
      </c>
      <c r="BB91" t="s">
        <v>54</v>
      </c>
      <c r="BC91" t="s">
        <v>1022</v>
      </c>
      <c r="BD91" t="s">
        <v>1344</v>
      </c>
      <c r="BE91" t="s">
        <v>1109</v>
      </c>
      <c r="BF91">
        <v>6</v>
      </c>
      <c r="BG91" t="s">
        <v>330</v>
      </c>
      <c r="BH91">
        <v>80</v>
      </c>
      <c r="BI91">
        <v>75</v>
      </c>
      <c r="BJ91" t="s">
        <v>1943</v>
      </c>
      <c r="BK91">
        <v>0</v>
      </c>
      <c r="BL91">
        <v>3</v>
      </c>
      <c r="BM91">
        <v>6</v>
      </c>
      <c r="BN91">
        <v>3</v>
      </c>
      <c r="BO91">
        <v>0</v>
      </c>
    </row>
    <row r="92" spans="1:67">
      <c r="A92" t="s">
        <v>56</v>
      </c>
      <c r="B92" s="90" t="s">
        <v>1000</v>
      </c>
      <c r="C92" t="s">
        <v>1022</v>
      </c>
      <c r="D92" t="s">
        <v>1109</v>
      </c>
      <c r="E92" s="90">
        <v>0</v>
      </c>
      <c r="F92" s="90">
        <v>0</v>
      </c>
      <c r="G92" s="90">
        <v>0</v>
      </c>
      <c r="H92" s="90">
        <v>0</v>
      </c>
      <c r="I92" s="90">
        <v>0</v>
      </c>
      <c r="J92" s="90">
        <v>0</v>
      </c>
      <c r="K92" s="90">
        <v>0</v>
      </c>
      <c r="L92" s="90">
        <v>0</v>
      </c>
      <c r="M92" s="90">
        <v>15</v>
      </c>
      <c r="N92" s="90">
        <v>0</v>
      </c>
      <c r="O92" s="90">
        <v>6</v>
      </c>
      <c r="P92" s="90">
        <v>0</v>
      </c>
      <c r="Q92" s="90" t="s">
        <v>1943</v>
      </c>
      <c r="R92" s="90" t="s">
        <v>1943</v>
      </c>
      <c r="S92" s="90" t="s">
        <v>1943</v>
      </c>
      <c r="T92" s="90" t="s">
        <v>1943</v>
      </c>
      <c r="U92" s="90" t="s">
        <v>1943</v>
      </c>
      <c r="V92" s="90" t="s">
        <v>1943</v>
      </c>
      <c r="W92" s="168" t="s">
        <v>57</v>
      </c>
      <c r="X92" s="90" t="s">
        <v>1226</v>
      </c>
      <c r="Y92" s="90" t="s">
        <v>2278</v>
      </c>
      <c r="Z92" s="90" t="s">
        <v>2278</v>
      </c>
      <c r="AA92" s="90" t="s">
        <v>1977</v>
      </c>
      <c r="AB92" s="90" t="s">
        <v>1977</v>
      </c>
      <c r="AC92" s="90" t="s">
        <v>1977</v>
      </c>
      <c r="AD92" s="242">
        <v>5</v>
      </c>
      <c r="AE92" s="242">
        <v>5</v>
      </c>
      <c r="AF92" s="90" t="s">
        <v>1977</v>
      </c>
      <c r="AG92" s="90" t="s">
        <v>1977</v>
      </c>
      <c r="AH92" s="90" t="s">
        <v>1977</v>
      </c>
      <c r="AI92" s="90" t="s">
        <v>1977</v>
      </c>
      <c r="AJ92" s="90" t="s">
        <v>1977</v>
      </c>
      <c r="AK92" s="90" t="s">
        <v>1977</v>
      </c>
      <c r="AL92" s="90" t="s">
        <v>1977</v>
      </c>
      <c r="AM92" s="90" t="s">
        <v>1977</v>
      </c>
      <c r="AN92" s="90" t="s">
        <v>1977</v>
      </c>
      <c r="AO92" s="90" t="s">
        <v>1977</v>
      </c>
      <c r="AP92" s="90" t="s">
        <v>1977</v>
      </c>
      <c r="AQ92" s="90" t="s">
        <v>1977</v>
      </c>
      <c r="AR92" s="90" t="s">
        <v>1977</v>
      </c>
      <c r="AS92" s="90" t="s">
        <v>1977</v>
      </c>
      <c r="AT92" s="90" t="s">
        <v>1977</v>
      </c>
      <c r="AU92" s="90" t="s">
        <v>1977</v>
      </c>
      <c r="AV92" s="90" t="s">
        <v>1977</v>
      </c>
      <c r="AW92" s="90" t="s">
        <v>1977</v>
      </c>
      <c r="AX92" s="90">
        <v>75</v>
      </c>
      <c r="AY92" s="90">
        <v>0</v>
      </c>
      <c r="AZ92" t="s">
        <v>91</v>
      </c>
      <c r="BA92" t="s">
        <v>53</v>
      </c>
      <c r="BB92" t="s">
        <v>56</v>
      </c>
      <c r="BC92" t="s">
        <v>1022</v>
      </c>
      <c r="BD92" t="s">
        <v>1000</v>
      </c>
      <c r="BE92" t="s">
        <v>1109</v>
      </c>
      <c r="BF92">
        <v>6</v>
      </c>
      <c r="BG92" t="s">
        <v>326</v>
      </c>
      <c r="BH92">
        <v>80</v>
      </c>
      <c r="BI92">
        <v>75</v>
      </c>
      <c r="BJ92" t="s">
        <v>1943</v>
      </c>
      <c r="BK92">
        <v>0</v>
      </c>
      <c r="BL92">
        <v>3</v>
      </c>
      <c r="BM92">
        <v>6</v>
      </c>
      <c r="BN92">
        <v>2</v>
      </c>
      <c r="BO92">
        <v>0</v>
      </c>
    </row>
    <row r="93" spans="1:67">
      <c r="A93" t="s">
        <v>58</v>
      </c>
      <c r="B93" s="90">
        <v>1</v>
      </c>
      <c r="C93" t="s">
        <v>1022</v>
      </c>
      <c r="D93" t="s">
        <v>1109</v>
      </c>
      <c r="E93" s="90">
        <v>0</v>
      </c>
      <c r="F93" s="90">
        <v>0</v>
      </c>
      <c r="G93" s="90">
        <v>0</v>
      </c>
      <c r="H93" s="90">
        <v>0</v>
      </c>
      <c r="I93" s="90">
        <v>0</v>
      </c>
      <c r="J93" s="90">
        <v>0</v>
      </c>
      <c r="K93" s="90">
        <v>0</v>
      </c>
      <c r="L93" s="90">
        <v>0</v>
      </c>
      <c r="M93" s="90">
        <v>15</v>
      </c>
      <c r="N93" s="90">
        <v>0</v>
      </c>
      <c r="O93" s="90">
        <v>1</v>
      </c>
      <c r="P93" s="90">
        <v>4</v>
      </c>
      <c r="Q93" s="90" t="s">
        <v>1943</v>
      </c>
      <c r="R93" s="90" t="s">
        <v>1943</v>
      </c>
      <c r="S93" s="90" t="s">
        <v>1943</v>
      </c>
      <c r="T93" s="90" t="s">
        <v>1943</v>
      </c>
      <c r="U93" s="90" t="s">
        <v>1943</v>
      </c>
      <c r="V93" s="90" t="s">
        <v>1943</v>
      </c>
      <c r="W93" s="168" t="s">
        <v>59</v>
      </c>
      <c r="X93" s="90" t="s">
        <v>1514</v>
      </c>
      <c r="Y93" s="90" t="s">
        <v>2278</v>
      </c>
      <c r="Z93" s="90" t="s">
        <v>2278</v>
      </c>
      <c r="AA93" s="90" t="s">
        <v>1226</v>
      </c>
      <c r="AB93" s="90" t="s">
        <v>1977</v>
      </c>
      <c r="AC93" s="90" t="s">
        <v>1977</v>
      </c>
      <c r="AD93" s="242">
        <v>20</v>
      </c>
      <c r="AE93" s="242">
        <v>20</v>
      </c>
      <c r="AF93" s="90" t="s">
        <v>1977</v>
      </c>
      <c r="AG93" s="90" t="s">
        <v>1977</v>
      </c>
      <c r="AH93" s="90" t="s">
        <v>1977</v>
      </c>
      <c r="AI93" s="90" t="s">
        <v>1977</v>
      </c>
      <c r="AJ93" s="90" t="s">
        <v>1977</v>
      </c>
      <c r="AK93" s="90" t="s">
        <v>1977</v>
      </c>
      <c r="AL93" s="90" t="s">
        <v>1977</v>
      </c>
      <c r="AM93" s="90" t="s">
        <v>1977</v>
      </c>
      <c r="AN93" s="90" t="s">
        <v>1977</v>
      </c>
      <c r="AO93" s="90" t="s">
        <v>1977</v>
      </c>
      <c r="AP93" s="90" t="s">
        <v>1977</v>
      </c>
      <c r="AQ93" s="90" t="s">
        <v>1977</v>
      </c>
      <c r="AR93" s="90" t="s">
        <v>1977</v>
      </c>
      <c r="AS93" s="90" t="s">
        <v>1977</v>
      </c>
      <c r="AT93" s="90" t="s">
        <v>1977</v>
      </c>
      <c r="AU93" s="90" t="s">
        <v>1977</v>
      </c>
      <c r="AV93" s="90" t="s">
        <v>1977</v>
      </c>
      <c r="AW93" s="90" t="s">
        <v>1977</v>
      </c>
      <c r="AX93" s="90">
        <v>0</v>
      </c>
      <c r="AY93" s="90">
        <v>0</v>
      </c>
      <c r="AZ93" t="s">
        <v>91</v>
      </c>
      <c r="BA93" t="s">
        <v>53</v>
      </c>
      <c r="BB93" t="s">
        <v>58</v>
      </c>
      <c r="BC93" t="s">
        <v>1022</v>
      </c>
      <c r="BD93">
        <v>1</v>
      </c>
      <c r="BE93" t="s">
        <v>1109</v>
      </c>
      <c r="BF93">
        <v>1</v>
      </c>
      <c r="BG93" t="s">
        <v>60</v>
      </c>
      <c r="BH93">
        <v>2000</v>
      </c>
      <c r="BI93">
        <v>0</v>
      </c>
      <c r="BJ93" t="s">
        <v>1943</v>
      </c>
      <c r="BK93">
        <v>0</v>
      </c>
      <c r="BL93">
        <v>14</v>
      </c>
      <c r="BM93">
        <v>24</v>
      </c>
      <c r="BN93">
        <v>1</v>
      </c>
      <c r="BO93">
        <v>4</v>
      </c>
    </row>
    <row r="94" spans="1:67">
      <c r="A94" t="s">
        <v>61</v>
      </c>
      <c r="B94" s="90" t="s">
        <v>1344</v>
      </c>
      <c r="C94" t="s">
        <v>1022</v>
      </c>
      <c r="D94" t="s">
        <v>1109</v>
      </c>
      <c r="E94" s="90">
        <v>0</v>
      </c>
      <c r="F94" s="90">
        <v>0</v>
      </c>
      <c r="G94" s="90">
        <v>0</v>
      </c>
      <c r="H94" s="90">
        <v>0</v>
      </c>
      <c r="I94" s="90">
        <v>0</v>
      </c>
      <c r="J94" s="90">
        <v>0</v>
      </c>
      <c r="K94" s="90">
        <v>0</v>
      </c>
      <c r="L94" s="90">
        <v>0</v>
      </c>
      <c r="M94" s="90">
        <v>15</v>
      </c>
      <c r="N94" s="90">
        <v>0</v>
      </c>
      <c r="O94" s="90">
        <v>2</v>
      </c>
      <c r="P94" s="90">
        <v>0</v>
      </c>
      <c r="Q94" s="90" t="s">
        <v>1943</v>
      </c>
      <c r="R94" s="90" t="s">
        <v>1943</v>
      </c>
      <c r="S94" s="90" t="s">
        <v>1943</v>
      </c>
      <c r="T94" s="90" t="s">
        <v>1943</v>
      </c>
      <c r="U94" s="90" t="s">
        <v>1943</v>
      </c>
      <c r="V94" s="90" t="s">
        <v>1943</v>
      </c>
      <c r="W94" s="168" t="s">
        <v>62</v>
      </c>
      <c r="X94" s="90" t="s">
        <v>2278</v>
      </c>
      <c r="Y94" s="90" t="s">
        <v>2278</v>
      </c>
      <c r="Z94" s="90" t="s">
        <v>1977</v>
      </c>
      <c r="AA94" s="90" t="s">
        <v>1977</v>
      </c>
      <c r="AB94" s="90" t="s">
        <v>1977</v>
      </c>
      <c r="AC94" s="90" t="s">
        <v>1977</v>
      </c>
      <c r="AD94" s="242">
        <v>10</v>
      </c>
      <c r="AE94" s="242">
        <v>10</v>
      </c>
      <c r="AF94" s="90" t="s">
        <v>1977</v>
      </c>
      <c r="AG94" s="90" t="s">
        <v>1977</v>
      </c>
      <c r="AH94" s="242" t="s">
        <v>63</v>
      </c>
      <c r="AI94" s="90" t="s">
        <v>1977</v>
      </c>
      <c r="AJ94" s="90" t="s">
        <v>1977</v>
      </c>
      <c r="AK94" s="90" t="s">
        <v>1977</v>
      </c>
      <c r="AL94" s="90" t="s">
        <v>1977</v>
      </c>
      <c r="AM94" s="90" t="s">
        <v>1977</v>
      </c>
      <c r="AN94" s="90" t="s">
        <v>1977</v>
      </c>
      <c r="AO94" s="90" t="s">
        <v>1977</v>
      </c>
      <c r="AP94" s="90" t="s">
        <v>1977</v>
      </c>
      <c r="AQ94" s="90" t="s">
        <v>1977</v>
      </c>
      <c r="AR94" s="90" t="s">
        <v>1977</v>
      </c>
      <c r="AS94" s="90" t="s">
        <v>1977</v>
      </c>
      <c r="AT94" s="90" t="s">
        <v>1977</v>
      </c>
      <c r="AU94" s="90" t="s">
        <v>1977</v>
      </c>
      <c r="AV94" s="90" t="s">
        <v>1977</v>
      </c>
      <c r="AW94" s="90" t="s">
        <v>1977</v>
      </c>
      <c r="AX94" s="90">
        <v>75</v>
      </c>
      <c r="AY94" s="90">
        <v>0</v>
      </c>
      <c r="AZ94" t="s">
        <v>91</v>
      </c>
      <c r="BA94" t="s">
        <v>53</v>
      </c>
      <c r="BB94" t="s">
        <v>61</v>
      </c>
      <c r="BC94" t="s">
        <v>1022</v>
      </c>
      <c r="BD94" t="s">
        <v>1344</v>
      </c>
      <c r="BE94" t="s">
        <v>1109</v>
      </c>
      <c r="BF94">
        <v>2</v>
      </c>
      <c r="BG94" t="s">
        <v>330</v>
      </c>
      <c r="BH94">
        <v>80</v>
      </c>
      <c r="BI94">
        <v>75</v>
      </c>
      <c r="BJ94" t="s">
        <v>1943</v>
      </c>
      <c r="BK94">
        <v>0</v>
      </c>
      <c r="BL94">
        <v>3</v>
      </c>
      <c r="BM94">
        <v>6</v>
      </c>
      <c r="BN94">
        <v>7</v>
      </c>
      <c r="BO94">
        <v>0</v>
      </c>
    </row>
    <row r="95" spans="1:67">
      <c r="A95" t="s">
        <v>68</v>
      </c>
      <c r="B95" s="90" t="s">
        <v>271</v>
      </c>
      <c r="C95" t="s">
        <v>2277</v>
      </c>
      <c r="D95" t="s">
        <v>1098</v>
      </c>
      <c r="E95" s="90">
        <v>0</v>
      </c>
      <c r="F95" s="90">
        <v>0</v>
      </c>
      <c r="G95" s="90">
        <v>0</v>
      </c>
      <c r="H95" s="90">
        <v>0</v>
      </c>
      <c r="I95" s="90">
        <v>0</v>
      </c>
      <c r="J95" s="90">
        <v>0</v>
      </c>
      <c r="K95" s="90">
        <v>0</v>
      </c>
      <c r="L95" s="90">
        <v>0</v>
      </c>
      <c r="M95" s="90">
        <v>15</v>
      </c>
      <c r="N95" s="90">
        <v>0</v>
      </c>
      <c r="O95" s="90">
        <v>4</v>
      </c>
      <c r="P95" s="90">
        <v>-3</v>
      </c>
      <c r="Q95" s="90" t="s">
        <v>322</v>
      </c>
      <c r="R95" s="90" t="s">
        <v>322</v>
      </c>
      <c r="S95" s="90" t="s">
        <v>322</v>
      </c>
      <c r="T95" s="90" t="s">
        <v>322</v>
      </c>
      <c r="U95" s="90" t="s">
        <v>322</v>
      </c>
      <c r="V95" s="90" t="s">
        <v>322</v>
      </c>
      <c r="W95" s="168" t="s">
        <v>69</v>
      </c>
      <c r="X95" s="90" t="s">
        <v>1514</v>
      </c>
      <c r="Y95" s="90" t="s">
        <v>1977</v>
      </c>
      <c r="Z95" s="90" t="s">
        <v>1977</v>
      </c>
      <c r="AA95" s="90" t="s">
        <v>1977</v>
      </c>
      <c r="AB95" s="90" t="s">
        <v>1977</v>
      </c>
      <c r="AC95" s="90" t="s">
        <v>1977</v>
      </c>
      <c r="AD95" s="242">
        <v>10</v>
      </c>
      <c r="AE95" s="242">
        <v>10</v>
      </c>
      <c r="AF95" s="242" t="s">
        <v>1855</v>
      </c>
      <c r="AG95" s="90" t="s">
        <v>1977</v>
      </c>
      <c r="AH95" s="90" t="s">
        <v>1977</v>
      </c>
      <c r="AI95" s="90" t="s">
        <v>1977</v>
      </c>
      <c r="AJ95" s="90" t="s">
        <v>1977</v>
      </c>
      <c r="AK95" s="90" t="s">
        <v>1977</v>
      </c>
      <c r="AL95" s="90" t="s">
        <v>1977</v>
      </c>
      <c r="AM95" s="90" t="s">
        <v>1977</v>
      </c>
      <c r="AN95" s="90" t="s">
        <v>1977</v>
      </c>
      <c r="AO95" s="90" t="s">
        <v>1977</v>
      </c>
      <c r="AP95" s="90" t="s">
        <v>1977</v>
      </c>
      <c r="AQ95" s="90" t="s">
        <v>1977</v>
      </c>
      <c r="AR95" s="90" t="s">
        <v>1977</v>
      </c>
      <c r="AS95" s="90" t="s">
        <v>1977</v>
      </c>
      <c r="AT95" s="90" t="s">
        <v>1977</v>
      </c>
      <c r="AU95" s="90" t="s">
        <v>1977</v>
      </c>
      <c r="AV95" s="90" t="s">
        <v>1977</v>
      </c>
      <c r="AW95" s="90" t="s">
        <v>1977</v>
      </c>
      <c r="AX95" s="90">
        <v>95</v>
      </c>
      <c r="AY95" s="90">
        <v>0</v>
      </c>
      <c r="AZ95" t="s">
        <v>91</v>
      </c>
      <c r="BA95" t="s">
        <v>65</v>
      </c>
      <c r="BB95" t="s">
        <v>68</v>
      </c>
      <c r="BC95" t="s">
        <v>2277</v>
      </c>
      <c r="BD95" t="s">
        <v>271</v>
      </c>
      <c r="BE95" t="s">
        <v>1098</v>
      </c>
      <c r="BF95">
        <v>4</v>
      </c>
      <c r="BG95" t="s">
        <v>330</v>
      </c>
      <c r="BH95">
        <v>40</v>
      </c>
      <c r="BI95">
        <v>95</v>
      </c>
      <c r="BJ95" t="s">
        <v>322</v>
      </c>
      <c r="BK95">
        <v>-2</v>
      </c>
      <c r="BL95">
        <v>1</v>
      </c>
      <c r="BM95">
        <v>5</v>
      </c>
      <c r="BN95">
        <v>1</v>
      </c>
      <c r="BO95">
        <v>-3</v>
      </c>
    </row>
    <row r="96" spans="1:67">
      <c r="A96" t="s">
        <v>185</v>
      </c>
      <c r="B96" s="90" t="s">
        <v>186</v>
      </c>
      <c r="C96" t="s">
        <v>1317</v>
      </c>
      <c r="D96" t="s">
        <v>1619</v>
      </c>
      <c r="E96" s="90">
        <v>0</v>
      </c>
      <c r="F96" s="90">
        <v>0</v>
      </c>
      <c r="G96" s="90">
        <v>1</v>
      </c>
      <c r="H96" s="90">
        <v>0</v>
      </c>
      <c r="I96" s="90">
        <v>0</v>
      </c>
      <c r="J96" s="90">
        <v>0</v>
      </c>
      <c r="K96" s="90">
        <v>0</v>
      </c>
      <c r="L96" s="90">
        <v>0</v>
      </c>
      <c r="M96" s="90">
        <v>15</v>
      </c>
      <c r="N96" s="90">
        <v>0</v>
      </c>
      <c r="O96" s="90">
        <v>1</v>
      </c>
      <c r="P96" s="90">
        <v>-5</v>
      </c>
      <c r="Q96" s="90" t="s">
        <v>1944</v>
      </c>
      <c r="R96" s="90" t="s">
        <v>1944</v>
      </c>
      <c r="S96" s="90" t="s">
        <v>1944</v>
      </c>
      <c r="T96" s="90" t="s">
        <v>1944</v>
      </c>
      <c r="U96" s="90" t="s">
        <v>1944</v>
      </c>
      <c r="V96" s="90" t="s">
        <v>1944</v>
      </c>
      <c r="W96" s="168" t="s">
        <v>187</v>
      </c>
      <c r="X96" s="90" t="s">
        <v>1514</v>
      </c>
      <c r="Y96" s="90" t="s">
        <v>1977</v>
      </c>
      <c r="Z96" s="90" t="s">
        <v>1977</v>
      </c>
      <c r="AA96" s="90" t="s">
        <v>1977</v>
      </c>
      <c r="AB96" s="90" t="s">
        <v>1977</v>
      </c>
      <c r="AC96" s="90" t="s">
        <v>1977</v>
      </c>
      <c r="AD96" s="242">
        <v>5</v>
      </c>
      <c r="AE96" s="242">
        <v>5</v>
      </c>
      <c r="AF96" s="90" t="s">
        <v>1977</v>
      </c>
      <c r="AG96" s="90" t="s">
        <v>1977</v>
      </c>
      <c r="AH96" s="90" t="s">
        <v>1977</v>
      </c>
      <c r="AI96" s="90" t="s">
        <v>1977</v>
      </c>
      <c r="AJ96" s="90" t="s">
        <v>1977</v>
      </c>
      <c r="AK96" s="90" t="s">
        <v>1977</v>
      </c>
      <c r="AL96" s="90" t="s">
        <v>1977</v>
      </c>
      <c r="AM96" s="90" t="s">
        <v>1977</v>
      </c>
      <c r="AN96" s="242" t="s">
        <v>1488</v>
      </c>
      <c r="AO96">
        <v>6</v>
      </c>
      <c r="AP96" s="90" t="s">
        <v>1977</v>
      </c>
      <c r="AQ96" s="90" t="s">
        <v>1977</v>
      </c>
      <c r="AR96" s="90" t="s">
        <v>1977</v>
      </c>
      <c r="AS96" s="90" t="s">
        <v>1977</v>
      </c>
      <c r="AT96" s="90" t="s">
        <v>1977</v>
      </c>
      <c r="AU96" s="90" t="s">
        <v>1977</v>
      </c>
      <c r="AV96" s="90" t="s">
        <v>1977</v>
      </c>
      <c r="AW96" s="90" t="s">
        <v>1977</v>
      </c>
      <c r="AX96" s="90">
        <v>50</v>
      </c>
      <c r="AY96" s="90">
        <v>0</v>
      </c>
      <c r="AZ96" t="s">
        <v>183</v>
      </c>
      <c r="BA96" t="s">
        <v>184</v>
      </c>
      <c r="BB96" t="s">
        <v>185</v>
      </c>
      <c r="BC96" t="s">
        <v>1317</v>
      </c>
      <c r="BD96" t="s">
        <v>186</v>
      </c>
      <c r="BE96" t="s">
        <v>1619</v>
      </c>
      <c r="BF96">
        <v>1</v>
      </c>
      <c r="BG96" t="s">
        <v>326</v>
      </c>
      <c r="BH96">
        <v>10</v>
      </c>
      <c r="BI96">
        <v>50</v>
      </c>
      <c r="BJ96" t="s">
        <v>1944</v>
      </c>
      <c r="BK96">
        <v>0</v>
      </c>
      <c r="BL96">
        <v>1</v>
      </c>
      <c r="BM96">
        <v>3</v>
      </c>
      <c r="BN96">
        <v>1</v>
      </c>
      <c r="BO96">
        <v>0</v>
      </c>
    </row>
    <row r="97" spans="1:67">
      <c r="A97" t="s">
        <v>175</v>
      </c>
      <c r="B97" s="90" t="s">
        <v>1344</v>
      </c>
      <c r="C97" t="s">
        <v>2277</v>
      </c>
      <c r="D97" t="s">
        <v>1619</v>
      </c>
      <c r="E97" s="90">
        <v>0</v>
      </c>
      <c r="F97" s="90">
        <v>0</v>
      </c>
      <c r="G97" s="90">
        <v>0</v>
      </c>
      <c r="H97" s="90">
        <v>0</v>
      </c>
      <c r="I97" s="90">
        <v>0</v>
      </c>
      <c r="J97" s="90">
        <v>0</v>
      </c>
      <c r="K97" s="90">
        <v>0</v>
      </c>
      <c r="L97" s="90">
        <v>0</v>
      </c>
      <c r="M97" s="90">
        <v>15</v>
      </c>
      <c r="N97" s="90">
        <v>0</v>
      </c>
      <c r="O97" s="90">
        <v>1</v>
      </c>
      <c r="P97" s="90">
        <v>2</v>
      </c>
      <c r="Q97" s="90" t="s">
        <v>1943</v>
      </c>
      <c r="R97" s="90" t="s">
        <v>1943</v>
      </c>
      <c r="S97" s="90" t="s">
        <v>1943</v>
      </c>
      <c r="T97" s="90" t="s">
        <v>1943</v>
      </c>
      <c r="U97" s="90" t="s">
        <v>1943</v>
      </c>
      <c r="V97" s="90" t="s">
        <v>1943</v>
      </c>
      <c r="W97" s="168" t="s">
        <v>134</v>
      </c>
      <c r="X97" s="90" t="s">
        <v>1514</v>
      </c>
      <c r="Y97" s="90" t="s">
        <v>2280</v>
      </c>
      <c r="Z97" s="90" t="s">
        <v>1977</v>
      </c>
      <c r="AA97" s="90" t="s">
        <v>1977</v>
      </c>
      <c r="AB97" s="90" t="s">
        <v>1977</v>
      </c>
      <c r="AC97" s="90" t="s">
        <v>1977</v>
      </c>
      <c r="AD97" s="242">
        <v>15</v>
      </c>
      <c r="AE97" s="242">
        <v>15</v>
      </c>
      <c r="AF97" s="90" t="s">
        <v>1977</v>
      </c>
      <c r="AG97" s="90" t="s">
        <v>1977</v>
      </c>
      <c r="AH97" s="90" t="s">
        <v>1977</v>
      </c>
      <c r="AI97" s="90" t="s">
        <v>1977</v>
      </c>
      <c r="AJ97" s="90" t="s">
        <v>1977</v>
      </c>
      <c r="AK97" s="90" t="s">
        <v>1977</v>
      </c>
      <c r="AL97" s="90" t="s">
        <v>1977</v>
      </c>
      <c r="AM97" s="90" t="s">
        <v>1977</v>
      </c>
      <c r="AN97" s="90" t="s">
        <v>1977</v>
      </c>
      <c r="AO97" s="90" t="s">
        <v>1977</v>
      </c>
      <c r="AP97" s="90" t="s">
        <v>1977</v>
      </c>
      <c r="AQ97" s="90" t="s">
        <v>1977</v>
      </c>
      <c r="AR97" s="90" t="s">
        <v>1977</v>
      </c>
      <c r="AS97" s="90" t="s">
        <v>1977</v>
      </c>
      <c r="AT97" s="90" t="s">
        <v>1977</v>
      </c>
      <c r="AU97" s="90" t="s">
        <v>1977</v>
      </c>
      <c r="AV97" s="90" t="s">
        <v>1977</v>
      </c>
      <c r="AW97" s="90" t="s">
        <v>1977</v>
      </c>
      <c r="AX97" s="90">
        <v>50</v>
      </c>
      <c r="AY97" s="90">
        <v>0</v>
      </c>
      <c r="AZ97" t="s">
        <v>324</v>
      </c>
      <c r="BA97" t="s">
        <v>135</v>
      </c>
      <c r="BB97" t="s">
        <v>175</v>
      </c>
      <c r="BC97" t="s">
        <v>2277</v>
      </c>
      <c r="BD97" t="s">
        <v>1344</v>
      </c>
      <c r="BE97" t="s">
        <v>1619</v>
      </c>
      <c r="BF97">
        <v>1</v>
      </c>
      <c r="BG97" t="s">
        <v>1384</v>
      </c>
      <c r="BH97">
        <v>200</v>
      </c>
      <c r="BI97">
        <v>50</v>
      </c>
      <c r="BJ97" t="s">
        <v>1943</v>
      </c>
      <c r="BK97">
        <v>0</v>
      </c>
      <c r="BL97">
        <v>7</v>
      </c>
      <c r="BM97">
        <v>14</v>
      </c>
      <c r="BN97">
        <v>3</v>
      </c>
      <c r="BO97">
        <v>0</v>
      </c>
    </row>
    <row r="98" spans="1:67">
      <c r="A98" t="s">
        <v>1773</v>
      </c>
      <c r="B98" s="90">
        <v>1</v>
      </c>
      <c r="C98" t="s">
        <v>1317</v>
      </c>
      <c r="D98" t="s">
        <v>1619</v>
      </c>
      <c r="E98" s="90">
        <f>P98</f>
        <v>-3</v>
      </c>
      <c r="F98" s="90">
        <v>0</v>
      </c>
      <c r="G98" s="90">
        <v>3</v>
      </c>
      <c r="H98" s="90">
        <v>0</v>
      </c>
      <c r="I98" s="90">
        <v>0</v>
      </c>
      <c r="J98" s="90">
        <v>0</v>
      </c>
      <c r="K98" s="90">
        <v>0</v>
      </c>
      <c r="L98" s="90">
        <v>0</v>
      </c>
      <c r="M98" s="90">
        <f>IF(C98="Carnivore",15,10)</f>
        <v>10</v>
      </c>
      <c r="N98" s="90">
        <v>3</v>
      </c>
      <c r="O98" s="90">
        <v>-3</v>
      </c>
      <c r="P98" s="90">
        <v>-3</v>
      </c>
      <c r="Q98" s="90" t="s">
        <v>1810</v>
      </c>
      <c r="R98" s="90" t="s">
        <v>1943</v>
      </c>
      <c r="S98" s="90" t="s">
        <v>1810</v>
      </c>
      <c r="T98" s="90" t="s">
        <v>1943</v>
      </c>
      <c r="U98" s="90"/>
      <c r="V98" s="90"/>
      <c r="W98" s="168" t="s">
        <v>2197</v>
      </c>
      <c r="X98" s="90" t="s">
        <v>2278</v>
      </c>
      <c r="Y98" s="90" t="s">
        <v>1977</v>
      </c>
      <c r="Z98" s="90" t="s">
        <v>1977</v>
      </c>
      <c r="AA98" s="90" t="s">
        <v>1977</v>
      </c>
      <c r="AB98" s="90" t="s">
        <v>1977</v>
      </c>
      <c r="AC98" s="90" t="s">
        <v>1977</v>
      </c>
      <c r="AD98" s="242">
        <v>4</v>
      </c>
      <c r="AE98" s="242">
        <v>4</v>
      </c>
      <c r="AF98" s="90" t="s">
        <v>1977</v>
      </c>
      <c r="AG98" s="90" t="s">
        <v>1977</v>
      </c>
      <c r="AH98" s="90" t="s">
        <v>1977</v>
      </c>
      <c r="AI98" s="90" t="s">
        <v>1977</v>
      </c>
      <c r="AJ98" s="90" t="s">
        <v>1977</v>
      </c>
      <c r="AK98" s="242" t="s">
        <v>1604</v>
      </c>
      <c r="AL98" s="90" t="s">
        <v>1977</v>
      </c>
      <c r="AM98" s="90" t="s">
        <v>1977</v>
      </c>
      <c r="AN98" t="s">
        <v>1027</v>
      </c>
      <c r="AO98" s="90" t="s">
        <v>1977</v>
      </c>
      <c r="AP98" s="90" t="s">
        <v>1977</v>
      </c>
      <c r="AQ98" s="90" t="s">
        <v>1977</v>
      </c>
      <c r="AR98" s="90" t="s">
        <v>1977</v>
      </c>
      <c r="AS98" s="90" t="s">
        <v>1977</v>
      </c>
      <c r="AT98" s="90" t="s">
        <v>1977</v>
      </c>
      <c r="AU98" s="90" t="s">
        <v>1977</v>
      </c>
      <c r="AV98" s="90" t="s">
        <v>1977</v>
      </c>
      <c r="AW98" s="90" t="s">
        <v>1977</v>
      </c>
      <c r="AX98" s="90">
        <v>15</v>
      </c>
      <c r="AY98" s="90">
        <f>IF(U98&gt;0,"Yes",0)</f>
        <v>0</v>
      </c>
      <c r="BA98"/>
    </row>
    <row r="99" spans="1:67">
      <c r="A99" t="s">
        <v>215</v>
      </c>
      <c r="B99" s="90" t="s">
        <v>1000</v>
      </c>
      <c r="C99" t="s">
        <v>1022</v>
      </c>
      <c r="D99" t="s">
        <v>1098</v>
      </c>
      <c r="E99" s="90">
        <v>0</v>
      </c>
      <c r="F99" s="90">
        <v>0</v>
      </c>
      <c r="G99" s="90">
        <v>0</v>
      </c>
      <c r="H99" s="90">
        <v>0</v>
      </c>
      <c r="I99" s="90">
        <v>0</v>
      </c>
      <c r="J99" s="90">
        <v>0</v>
      </c>
      <c r="K99" s="90">
        <v>0</v>
      </c>
      <c r="L99" s="90">
        <v>0</v>
      </c>
      <c r="M99" s="90">
        <v>15</v>
      </c>
      <c r="N99" s="90">
        <v>0</v>
      </c>
      <c r="O99" s="90">
        <v>6</v>
      </c>
      <c r="P99" s="90">
        <v>-3</v>
      </c>
      <c r="Q99" s="90" t="s">
        <v>322</v>
      </c>
      <c r="R99" s="90" t="s">
        <v>322</v>
      </c>
      <c r="S99" s="90" t="s">
        <v>322</v>
      </c>
      <c r="T99" s="90" t="s">
        <v>322</v>
      </c>
      <c r="U99" s="90" t="s">
        <v>322</v>
      </c>
      <c r="V99" s="90" t="s">
        <v>322</v>
      </c>
      <c r="W99" s="168" t="s">
        <v>2372</v>
      </c>
      <c r="X99" s="90" t="s">
        <v>1514</v>
      </c>
      <c r="Y99" s="90" t="s">
        <v>1977</v>
      </c>
      <c r="Z99" s="90" t="s">
        <v>1977</v>
      </c>
      <c r="AA99" s="90" t="s">
        <v>1977</v>
      </c>
      <c r="AB99" s="90" t="s">
        <v>1977</v>
      </c>
      <c r="AC99" s="90" t="s">
        <v>1977</v>
      </c>
      <c r="AD99" s="242">
        <v>10</v>
      </c>
      <c r="AE99" s="242">
        <v>10</v>
      </c>
      <c r="AF99" s="90" t="s">
        <v>1977</v>
      </c>
      <c r="AG99" s="90" t="s">
        <v>1977</v>
      </c>
      <c r="AH99" s="90" t="s">
        <v>1977</v>
      </c>
      <c r="AI99" s="90" t="s">
        <v>1977</v>
      </c>
      <c r="AJ99" s="90" t="s">
        <v>1977</v>
      </c>
      <c r="AK99" s="90" t="s">
        <v>1977</v>
      </c>
      <c r="AL99" s="90" t="s">
        <v>1977</v>
      </c>
      <c r="AM99" s="90" t="s">
        <v>1977</v>
      </c>
      <c r="AN99" s="90" t="s">
        <v>1977</v>
      </c>
      <c r="AO99" s="90" t="s">
        <v>1977</v>
      </c>
      <c r="AP99" s="90" t="s">
        <v>1977</v>
      </c>
      <c r="AQ99" s="90" t="s">
        <v>1977</v>
      </c>
      <c r="AR99" s="90" t="s">
        <v>1977</v>
      </c>
      <c r="AS99" s="90" t="s">
        <v>1977</v>
      </c>
      <c r="AT99" s="90" t="s">
        <v>1977</v>
      </c>
      <c r="AU99" s="90" t="s">
        <v>1977</v>
      </c>
      <c r="AV99" s="90" t="s">
        <v>1977</v>
      </c>
      <c r="AW99" s="90" t="s">
        <v>1977</v>
      </c>
      <c r="AX99" s="90">
        <v>90</v>
      </c>
      <c r="AY99" s="90">
        <v>0</v>
      </c>
      <c r="AZ99" t="s">
        <v>216</v>
      </c>
      <c r="BA99" t="s">
        <v>217</v>
      </c>
      <c r="BB99" t="s">
        <v>215</v>
      </c>
      <c r="BC99" t="s">
        <v>1022</v>
      </c>
      <c r="BD99" t="s">
        <v>1000</v>
      </c>
      <c r="BE99" t="s">
        <v>1098</v>
      </c>
      <c r="BF99">
        <v>6</v>
      </c>
      <c r="BG99" t="s">
        <v>330</v>
      </c>
      <c r="BH99">
        <v>25</v>
      </c>
      <c r="BI99">
        <v>90</v>
      </c>
      <c r="BJ99" t="s">
        <v>322</v>
      </c>
      <c r="BK99">
        <v>-4</v>
      </c>
      <c r="BL99">
        <v>14</v>
      </c>
      <c r="BM99">
        <v>24</v>
      </c>
      <c r="BN99">
        <v>3</v>
      </c>
      <c r="BO99">
        <v>0</v>
      </c>
    </row>
    <row r="100" spans="1:67">
      <c r="A100" t="s">
        <v>263</v>
      </c>
      <c r="B100" s="90" t="s">
        <v>264</v>
      </c>
      <c r="C100" t="s">
        <v>1317</v>
      </c>
      <c r="D100" t="s">
        <v>1619</v>
      </c>
      <c r="E100" s="90">
        <v>0</v>
      </c>
      <c r="F100" s="90">
        <v>0</v>
      </c>
      <c r="G100" s="90">
        <v>0</v>
      </c>
      <c r="H100" s="90">
        <v>0</v>
      </c>
      <c r="I100" s="90">
        <v>0</v>
      </c>
      <c r="J100" s="90">
        <v>0</v>
      </c>
      <c r="K100" s="90">
        <v>0</v>
      </c>
      <c r="L100" s="90">
        <v>0</v>
      </c>
      <c r="M100" s="90">
        <v>15</v>
      </c>
      <c r="N100" s="90">
        <v>0</v>
      </c>
      <c r="O100" s="90">
        <v>2</v>
      </c>
      <c r="P100" s="90">
        <v>2</v>
      </c>
      <c r="Q100" s="90" t="s">
        <v>1943</v>
      </c>
      <c r="R100" s="90" t="s">
        <v>1943</v>
      </c>
      <c r="S100" s="90" t="s">
        <v>1943</v>
      </c>
      <c r="T100" s="90" t="s">
        <v>1943</v>
      </c>
      <c r="U100" s="90" t="s">
        <v>1943</v>
      </c>
      <c r="V100" s="90" t="s">
        <v>1943</v>
      </c>
      <c r="W100" s="168" t="s">
        <v>265</v>
      </c>
      <c r="X100" s="90" t="s">
        <v>1980</v>
      </c>
      <c r="Y100" s="90" t="s">
        <v>1019</v>
      </c>
      <c r="Z100" s="90" t="s">
        <v>1977</v>
      </c>
      <c r="AA100" s="90" t="s">
        <v>1977</v>
      </c>
      <c r="AB100" s="90" t="s">
        <v>1977</v>
      </c>
      <c r="AC100" s="90" t="s">
        <v>1977</v>
      </c>
      <c r="AD100" s="242">
        <v>5</v>
      </c>
      <c r="AE100" s="242">
        <v>5</v>
      </c>
      <c r="AF100" s="90" t="s">
        <v>1977</v>
      </c>
      <c r="AG100" s="90" t="s">
        <v>1977</v>
      </c>
      <c r="AH100" s="90" t="s">
        <v>1977</v>
      </c>
      <c r="AI100" s="90" t="s">
        <v>1977</v>
      </c>
      <c r="AJ100" s="90" t="s">
        <v>1977</v>
      </c>
      <c r="AK100" s="90" t="s">
        <v>1977</v>
      </c>
      <c r="AL100" s="90" t="s">
        <v>1977</v>
      </c>
      <c r="AM100" s="90" t="s">
        <v>1977</v>
      </c>
      <c r="AN100" s="90" t="s">
        <v>1977</v>
      </c>
      <c r="AO100" s="90" t="s">
        <v>1977</v>
      </c>
      <c r="AP100" s="90" t="s">
        <v>1977</v>
      </c>
      <c r="AQ100" s="90" t="s">
        <v>1977</v>
      </c>
      <c r="AR100" s="90" t="s">
        <v>1977</v>
      </c>
      <c r="AS100" s="90" t="s">
        <v>1977</v>
      </c>
      <c r="AT100" s="90" t="s">
        <v>1977</v>
      </c>
      <c r="AU100" s="90" t="s">
        <v>1977</v>
      </c>
      <c r="AV100" s="90" t="s">
        <v>1977</v>
      </c>
      <c r="AW100" s="90" t="s">
        <v>1977</v>
      </c>
      <c r="AX100" s="90">
        <v>70</v>
      </c>
      <c r="AY100" s="90">
        <v>0</v>
      </c>
      <c r="AZ100" t="s">
        <v>324</v>
      </c>
      <c r="BA100" t="s">
        <v>266</v>
      </c>
      <c r="BB100" t="s">
        <v>263</v>
      </c>
      <c r="BC100" t="s">
        <v>1317</v>
      </c>
      <c r="BD100" t="s">
        <v>264</v>
      </c>
      <c r="BE100" t="s">
        <v>1619</v>
      </c>
      <c r="BF100">
        <v>2</v>
      </c>
      <c r="BG100" t="s">
        <v>326</v>
      </c>
      <c r="BH100">
        <v>200</v>
      </c>
      <c r="BI100">
        <v>70</v>
      </c>
      <c r="BJ100" t="s">
        <v>1943</v>
      </c>
      <c r="BK100">
        <v>0</v>
      </c>
      <c r="BL100">
        <v>6</v>
      </c>
      <c r="BM100">
        <v>12</v>
      </c>
      <c r="BN100">
        <v>3</v>
      </c>
      <c r="BO100">
        <v>0</v>
      </c>
    </row>
    <row r="101" spans="1:67">
      <c r="A101" t="s">
        <v>141</v>
      </c>
      <c r="B101" s="90" t="s">
        <v>1344</v>
      </c>
      <c r="C101" t="s">
        <v>1317</v>
      </c>
      <c r="D101" t="s">
        <v>2003</v>
      </c>
      <c r="E101" s="90">
        <v>0</v>
      </c>
      <c r="F101" s="90">
        <v>0</v>
      </c>
      <c r="G101" s="90">
        <v>0</v>
      </c>
      <c r="H101" s="90">
        <v>0</v>
      </c>
      <c r="I101" s="90">
        <v>0</v>
      </c>
      <c r="J101" s="90">
        <v>0</v>
      </c>
      <c r="K101" s="90">
        <v>0</v>
      </c>
      <c r="L101" s="90">
        <v>0</v>
      </c>
      <c r="M101" s="90">
        <v>15</v>
      </c>
      <c r="N101" s="90">
        <v>0</v>
      </c>
      <c r="O101" s="90">
        <v>5</v>
      </c>
      <c r="P101" s="90">
        <v>-3</v>
      </c>
      <c r="Q101" s="90" t="s">
        <v>1943</v>
      </c>
      <c r="R101" s="90" t="s">
        <v>1943</v>
      </c>
      <c r="S101" s="90" t="s">
        <v>1943</v>
      </c>
      <c r="T101" s="90" t="s">
        <v>1943</v>
      </c>
      <c r="U101" s="90" t="s">
        <v>1943</v>
      </c>
      <c r="V101" s="90" t="s">
        <v>1943</v>
      </c>
      <c r="W101" s="168" t="s">
        <v>142</v>
      </c>
      <c r="X101" s="90" t="s">
        <v>143</v>
      </c>
      <c r="Y101" s="90" t="s">
        <v>1977</v>
      </c>
      <c r="Z101" s="90" t="s">
        <v>1977</v>
      </c>
      <c r="AA101" s="90" t="s">
        <v>1977</v>
      </c>
      <c r="AB101" s="90" t="s">
        <v>1977</v>
      </c>
      <c r="AC101" s="90" t="s">
        <v>1977</v>
      </c>
      <c r="AD101" s="242">
        <v>15</v>
      </c>
      <c r="AE101" s="242">
        <v>15</v>
      </c>
      <c r="AF101" s="90" t="s">
        <v>1977</v>
      </c>
      <c r="AG101" s="90" t="s">
        <v>1977</v>
      </c>
      <c r="AH101" s="90" t="s">
        <v>1977</v>
      </c>
      <c r="AI101" s="90" t="s">
        <v>1977</v>
      </c>
      <c r="AJ101" s="90" t="s">
        <v>1977</v>
      </c>
      <c r="AK101" s="90" t="s">
        <v>1977</v>
      </c>
      <c r="AL101" s="90" t="s">
        <v>1977</v>
      </c>
      <c r="AM101" s="90" t="s">
        <v>1977</v>
      </c>
      <c r="AN101" s="90" t="s">
        <v>1977</v>
      </c>
      <c r="AO101" s="90" t="s">
        <v>1977</v>
      </c>
      <c r="AP101" s="90" t="s">
        <v>1977</v>
      </c>
      <c r="AQ101" s="90" t="s">
        <v>1977</v>
      </c>
      <c r="AR101" s="90" t="s">
        <v>1977</v>
      </c>
      <c r="AS101" s="90" t="s">
        <v>1977</v>
      </c>
      <c r="AT101" s="90" t="s">
        <v>1977</v>
      </c>
      <c r="AU101" s="90" t="s">
        <v>1977</v>
      </c>
      <c r="AV101" s="90" t="s">
        <v>1977</v>
      </c>
      <c r="AW101" s="90" t="s">
        <v>1977</v>
      </c>
      <c r="AX101" s="90">
        <v>50</v>
      </c>
      <c r="AY101" s="90">
        <v>0</v>
      </c>
      <c r="AZ101" t="s">
        <v>324</v>
      </c>
      <c r="BA101" t="s">
        <v>144</v>
      </c>
      <c r="BB101" t="s">
        <v>141</v>
      </c>
      <c r="BC101" t="s">
        <v>1317</v>
      </c>
      <c r="BD101" t="s">
        <v>1344</v>
      </c>
      <c r="BE101" t="s">
        <v>2003</v>
      </c>
      <c r="BF101">
        <v>5</v>
      </c>
      <c r="BG101" t="s">
        <v>1384</v>
      </c>
      <c r="BH101">
        <v>40</v>
      </c>
      <c r="BI101">
        <v>50</v>
      </c>
      <c r="BJ101" t="s">
        <v>1943</v>
      </c>
      <c r="BK101">
        <v>-1</v>
      </c>
      <c r="BL101">
        <v>3</v>
      </c>
      <c r="BM101">
        <v>7</v>
      </c>
      <c r="BN101">
        <v>1</v>
      </c>
      <c r="BO101">
        <v>-1</v>
      </c>
    </row>
    <row r="102" spans="1:67">
      <c r="A102" t="s">
        <v>147</v>
      </c>
      <c r="B102" s="90">
        <v>1</v>
      </c>
      <c r="C102" t="s">
        <v>1022</v>
      </c>
      <c r="D102" t="s">
        <v>1098</v>
      </c>
      <c r="E102" s="90">
        <v>4</v>
      </c>
      <c r="F102" s="90">
        <v>0</v>
      </c>
      <c r="G102" s="90">
        <v>6</v>
      </c>
      <c r="H102" s="90">
        <v>5</v>
      </c>
      <c r="I102" s="90">
        <v>0</v>
      </c>
      <c r="J102" s="90">
        <v>0</v>
      </c>
      <c r="K102" s="90">
        <v>0</v>
      </c>
      <c r="L102" s="90">
        <v>0</v>
      </c>
      <c r="M102" s="90">
        <v>15</v>
      </c>
      <c r="N102" s="90">
        <v>0</v>
      </c>
      <c r="O102" s="90">
        <v>5</v>
      </c>
      <c r="P102" s="90">
        <v>-3</v>
      </c>
      <c r="Q102" s="90" t="s">
        <v>1511</v>
      </c>
      <c r="R102" s="90" t="s">
        <v>1511</v>
      </c>
      <c r="S102" s="90" t="s">
        <v>1511</v>
      </c>
      <c r="T102" s="90" t="s">
        <v>1511</v>
      </c>
      <c r="U102" s="90" t="s">
        <v>1511</v>
      </c>
      <c r="V102" s="90" t="s">
        <v>1511</v>
      </c>
      <c r="W102" s="168" t="s">
        <v>148</v>
      </c>
      <c r="X102" s="90" t="s">
        <v>1514</v>
      </c>
      <c r="Y102" s="90" t="s">
        <v>1977</v>
      </c>
      <c r="Z102" s="90" t="s">
        <v>1977</v>
      </c>
      <c r="AA102" s="90" t="s">
        <v>1977</v>
      </c>
      <c r="AB102" s="90" t="s">
        <v>1977</v>
      </c>
      <c r="AC102" s="90" t="s">
        <v>1977</v>
      </c>
      <c r="AD102" s="242">
        <v>10</v>
      </c>
      <c r="AE102" s="242">
        <v>10</v>
      </c>
      <c r="AF102" s="90" t="s">
        <v>1977</v>
      </c>
      <c r="AG102" s="90" t="s">
        <v>1977</v>
      </c>
      <c r="AH102" s="90" t="s">
        <v>1977</v>
      </c>
      <c r="AI102" s="90" t="s">
        <v>1977</v>
      </c>
      <c r="AJ102" s="90" t="s">
        <v>1977</v>
      </c>
      <c r="AK102" s="90" t="s">
        <v>1977</v>
      </c>
      <c r="AL102" s="90" t="s">
        <v>1977</v>
      </c>
      <c r="AM102" s="90" t="s">
        <v>1977</v>
      </c>
      <c r="AN102" s="242" t="s">
        <v>1488</v>
      </c>
      <c r="AO102">
        <v>6</v>
      </c>
      <c r="AP102" s="90" t="s">
        <v>1977</v>
      </c>
      <c r="AQ102" s="90" t="s">
        <v>1977</v>
      </c>
      <c r="AR102" s="90" t="s">
        <v>1977</v>
      </c>
      <c r="AS102" s="90" t="s">
        <v>1977</v>
      </c>
      <c r="AT102" s="90" t="s">
        <v>1977</v>
      </c>
      <c r="AU102" s="90" t="s">
        <v>1977</v>
      </c>
      <c r="AV102" s="90" t="s">
        <v>1977</v>
      </c>
      <c r="AW102" s="90" t="s">
        <v>1977</v>
      </c>
      <c r="AX102" s="90">
        <v>120</v>
      </c>
      <c r="AY102" s="90">
        <v>0</v>
      </c>
      <c r="AZ102" t="s">
        <v>183</v>
      </c>
      <c r="BA102" t="s">
        <v>149</v>
      </c>
      <c r="BB102" t="s">
        <v>147</v>
      </c>
      <c r="BC102" t="s">
        <v>1022</v>
      </c>
      <c r="BD102">
        <v>1</v>
      </c>
      <c r="BE102" t="s">
        <v>1098</v>
      </c>
      <c r="BF102">
        <v>5</v>
      </c>
      <c r="BG102" t="s">
        <v>330</v>
      </c>
      <c r="BH102">
        <v>30</v>
      </c>
      <c r="BI102">
        <v>120</v>
      </c>
      <c r="BJ102" t="s">
        <v>1511</v>
      </c>
      <c r="BK102">
        <v>0</v>
      </c>
      <c r="BL102">
        <v>1</v>
      </c>
      <c r="BM102">
        <v>4</v>
      </c>
      <c r="BN102">
        <v>4</v>
      </c>
      <c r="BO102">
        <v>0</v>
      </c>
    </row>
    <row r="103" spans="1:67">
      <c r="A103" t="s">
        <v>150</v>
      </c>
      <c r="B103" s="90" t="s">
        <v>1344</v>
      </c>
      <c r="C103" t="s">
        <v>2277</v>
      </c>
      <c r="D103" t="s">
        <v>1098</v>
      </c>
      <c r="E103" s="90">
        <v>0</v>
      </c>
      <c r="F103" s="90">
        <v>0</v>
      </c>
      <c r="G103" s="90">
        <v>0</v>
      </c>
      <c r="H103" s="90">
        <v>0</v>
      </c>
      <c r="I103" s="90">
        <v>0</v>
      </c>
      <c r="J103" s="90">
        <v>0</v>
      </c>
      <c r="K103" s="90">
        <v>0</v>
      </c>
      <c r="L103" s="90">
        <v>0</v>
      </c>
      <c r="M103" s="90">
        <v>15</v>
      </c>
      <c r="N103" s="90">
        <v>0</v>
      </c>
      <c r="O103" s="90">
        <v>5</v>
      </c>
      <c r="P103" s="90">
        <v>-8</v>
      </c>
      <c r="Q103" s="90" t="s">
        <v>1944</v>
      </c>
      <c r="R103" s="90" t="s">
        <v>1944</v>
      </c>
      <c r="S103" s="90" t="s">
        <v>1944</v>
      </c>
      <c r="T103" s="90" t="s">
        <v>1944</v>
      </c>
      <c r="U103" s="90" t="s">
        <v>1944</v>
      </c>
      <c r="V103" s="90" t="s">
        <v>1944</v>
      </c>
      <c r="W103" s="168" t="s">
        <v>151</v>
      </c>
      <c r="X103" s="90" t="s">
        <v>2139</v>
      </c>
      <c r="Y103" s="90" t="s">
        <v>1977</v>
      </c>
      <c r="Z103" s="90" t="s">
        <v>1977</v>
      </c>
      <c r="AA103" s="90" t="s">
        <v>1977</v>
      </c>
      <c r="AB103" s="90" t="s">
        <v>1977</v>
      </c>
      <c r="AC103" s="90" t="s">
        <v>1977</v>
      </c>
      <c r="AD103" s="242">
        <v>10</v>
      </c>
      <c r="AE103" s="242">
        <v>10</v>
      </c>
      <c r="AF103" s="90" t="s">
        <v>1977</v>
      </c>
      <c r="AG103" s="90" t="s">
        <v>1977</v>
      </c>
      <c r="AH103" s="90" t="s">
        <v>1977</v>
      </c>
      <c r="AI103" s="90" t="s">
        <v>1977</v>
      </c>
      <c r="AJ103" s="90" t="s">
        <v>1977</v>
      </c>
      <c r="AK103" s="90" t="s">
        <v>1977</v>
      </c>
      <c r="AL103" s="90" t="s">
        <v>1977</v>
      </c>
      <c r="AM103" s="90" t="s">
        <v>1977</v>
      </c>
      <c r="AN103" s="242" t="s">
        <v>1488</v>
      </c>
      <c r="AO103">
        <v>6</v>
      </c>
      <c r="AP103" s="90" t="s">
        <v>1977</v>
      </c>
      <c r="AQ103" s="90" t="s">
        <v>1977</v>
      </c>
      <c r="AR103" s="90" t="s">
        <v>1977</v>
      </c>
      <c r="AS103" s="90" t="s">
        <v>1977</v>
      </c>
      <c r="AT103" s="90" t="s">
        <v>1977</v>
      </c>
      <c r="AU103" s="90" t="s">
        <v>1977</v>
      </c>
      <c r="AV103" s="90" t="s">
        <v>1977</v>
      </c>
      <c r="AW103" s="90" t="s">
        <v>1977</v>
      </c>
      <c r="AX103" s="90">
        <v>60</v>
      </c>
      <c r="AY103" s="90">
        <v>0</v>
      </c>
      <c r="AZ103" t="s">
        <v>183</v>
      </c>
      <c r="BA103" t="s">
        <v>149</v>
      </c>
      <c r="BB103" t="s">
        <v>150</v>
      </c>
      <c r="BC103" t="s">
        <v>2277</v>
      </c>
      <c r="BD103" t="s">
        <v>1344</v>
      </c>
      <c r="BE103" t="s">
        <v>1098</v>
      </c>
      <c r="BF103">
        <v>5</v>
      </c>
      <c r="BG103" t="s">
        <v>330</v>
      </c>
      <c r="BH103">
        <v>5</v>
      </c>
      <c r="BI103">
        <v>60</v>
      </c>
      <c r="BJ103" t="s">
        <v>1944</v>
      </c>
      <c r="BK103">
        <v>0</v>
      </c>
      <c r="BL103">
        <v>1</v>
      </c>
      <c r="BM103">
        <v>2</v>
      </c>
      <c r="BN103">
        <v>1</v>
      </c>
      <c r="BO103">
        <v>0</v>
      </c>
    </row>
    <row r="104" spans="1:67">
      <c r="A104" t="s">
        <v>190</v>
      </c>
      <c r="B104" s="90" t="s">
        <v>191</v>
      </c>
      <c r="C104" t="s">
        <v>1022</v>
      </c>
      <c r="D104" t="s">
        <v>1109</v>
      </c>
      <c r="E104" s="90">
        <v>0</v>
      </c>
      <c r="F104" s="90">
        <v>0</v>
      </c>
      <c r="G104" s="90">
        <v>0</v>
      </c>
      <c r="H104" s="90">
        <v>0</v>
      </c>
      <c r="I104" s="90">
        <v>0</v>
      </c>
      <c r="J104" s="90">
        <v>0</v>
      </c>
      <c r="K104" s="90">
        <v>0</v>
      </c>
      <c r="L104" s="90">
        <v>0</v>
      </c>
      <c r="M104" s="90">
        <v>15</v>
      </c>
      <c r="N104" s="90">
        <v>0</v>
      </c>
      <c r="O104" s="90">
        <v>10</v>
      </c>
      <c r="P104" s="90">
        <v>2</v>
      </c>
      <c r="Q104" s="90" t="s">
        <v>1714</v>
      </c>
      <c r="R104" s="90" t="s">
        <v>1714</v>
      </c>
      <c r="S104" s="90" t="s">
        <v>1714</v>
      </c>
      <c r="T104" s="90" t="s">
        <v>1714</v>
      </c>
      <c r="U104" s="90" t="s">
        <v>1714</v>
      </c>
      <c r="V104" s="90" t="s">
        <v>1714</v>
      </c>
      <c r="W104" s="168" t="s">
        <v>192</v>
      </c>
      <c r="X104" s="90" t="s">
        <v>1514</v>
      </c>
      <c r="Y104" s="90" t="s">
        <v>2278</v>
      </c>
      <c r="Z104" s="90" t="s">
        <v>2278</v>
      </c>
      <c r="AA104" s="90" t="s">
        <v>1977</v>
      </c>
      <c r="AB104" s="90" t="s">
        <v>1977</v>
      </c>
      <c r="AC104" s="90" t="s">
        <v>1977</v>
      </c>
      <c r="AD104" s="242">
        <v>10</v>
      </c>
      <c r="AE104" s="242">
        <v>10</v>
      </c>
      <c r="AF104" s="90" t="s">
        <v>1977</v>
      </c>
      <c r="AG104" s="90" t="s">
        <v>1977</v>
      </c>
      <c r="AH104" s="90" t="s">
        <v>1977</v>
      </c>
      <c r="AI104" s="90" t="s">
        <v>1977</v>
      </c>
      <c r="AJ104" s="90" t="s">
        <v>1977</v>
      </c>
      <c r="AK104" s="90" t="s">
        <v>1977</v>
      </c>
      <c r="AL104" s="90" t="s">
        <v>1977</v>
      </c>
      <c r="AM104" s="90" t="s">
        <v>1977</v>
      </c>
      <c r="AN104" s="90" t="s">
        <v>1977</v>
      </c>
      <c r="AO104" s="90" t="s">
        <v>1977</v>
      </c>
      <c r="AP104" s="90" t="s">
        <v>1977</v>
      </c>
      <c r="AQ104" s="90" t="s">
        <v>1977</v>
      </c>
      <c r="AR104" s="90" t="s">
        <v>1977</v>
      </c>
      <c r="AS104" s="90" t="s">
        <v>1977</v>
      </c>
      <c r="AT104" s="90" t="s">
        <v>1977</v>
      </c>
      <c r="AU104" s="90" t="s">
        <v>1977</v>
      </c>
      <c r="AV104" s="90" t="s">
        <v>1977</v>
      </c>
      <c r="AW104" s="90" t="s">
        <v>1977</v>
      </c>
      <c r="AX104" s="90">
        <v>50</v>
      </c>
      <c r="AY104" s="90">
        <v>0</v>
      </c>
      <c r="AZ104" t="s">
        <v>193</v>
      </c>
      <c r="BA104" t="s">
        <v>194</v>
      </c>
      <c r="BB104" t="s">
        <v>190</v>
      </c>
      <c r="BC104" t="s">
        <v>1022</v>
      </c>
      <c r="BD104" t="s">
        <v>191</v>
      </c>
      <c r="BE104" t="s">
        <v>1109</v>
      </c>
      <c r="BF104">
        <v>10</v>
      </c>
      <c r="BG104" t="s">
        <v>330</v>
      </c>
      <c r="BH104">
        <v>400</v>
      </c>
      <c r="BI104">
        <v>50</v>
      </c>
      <c r="BJ104" t="s">
        <v>1714</v>
      </c>
      <c r="BK104">
        <v>1</v>
      </c>
      <c r="BL104">
        <v>10</v>
      </c>
      <c r="BM104">
        <v>18</v>
      </c>
      <c r="BN104">
        <v>10</v>
      </c>
      <c r="BO104">
        <v>2</v>
      </c>
    </row>
    <row r="105" spans="1:67">
      <c r="A105" t="s">
        <v>169</v>
      </c>
      <c r="B105" s="90" t="s">
        <v>1344</v>
      </c>
      <c r="C105" t="s">
        <v>1022</v>
      </c>
      <c r="D105" t="s">
        <v>1109</v>
      </c>
      <c r="E105" s="90">
        <v>9</v>
      </c>
      <c r="F105" s="90">
        <v>0</v>
      </c>
      <c r="G105" s="90">
        <v>6</v>
      </c>
      <c r="H105" s="90">
        <v>8</v>
      </c>
      <c r="I105" s="90">
        <v>0</v>
      </c>
      <c r="J105" s="90">
        <v>0</v>
      </c>
      <c r="K105" s="90">
        <v>0</v>
      </c>
      <c r="L105" s="90">
        <v>0</v>
      </c>
      <c r="M105" s="90">
        <v>15</v>
      </c>
      <c r="N105" s="90">
        <v>0</v>
      </c>
      <c r="O105" s="90">
        <v>10</v>
      </c>
      <c r="P105" s="90">
        <v>2</v>
      </c>
      <c r="Q105" s="90" t="s">
        <v>1511</v>
      </c>
      <c r="R105" s="90" t="s">
        <v>1511</v>
      </c>
      <c r="S105" s="90" t="s">
        <v>1511</v>
      </c>
      <c r="T105" s="90" t="s">
        <v>1511</v>
      </c>
      <c r="U105" s="90" t="s">
        <v>1511</v>
      </c>
      <c r="V105" s="90" t="s">
        <v>1511</v>
      </c>
      <c r="W105" s="168" t="s">
        <v>170</v>
      </c>
      <c r="X105" s="90" t="s">
        <v>2278</v>
      </c>
      <c r="Y105" s="90" t="s">
        <v>2278</v>
      </c>
      <c r="Z105" s="90" t="s">
        <v>1514</v>
      </c>
      <c r="AA105" s="90" t="s">
        <v>1977</v>
      </c>
      <c r="AB105" s="90" t="s">
        <v>1977</v>
      </c>
      <c r="AC105" s="90" t="s">
        <v>1977</v>
      </c>
      <c r="AD105" s="242">
        <v>15</v>
      </c>
      <c r="AE105" s="242">
        <v>15</v>
      </c>
      <c r="AF105" s="90" t="s">
        <v>1977</v>
      </c>
      <c r="AG105" s="90" t="s">
        <v>1977</v>
      </c>
      <c r="AH105" s="90" t="s">
        <v>1977</v>
      </c>
      <c r="AI105" s="90" t="s">
        <v>1977</v>
      </c>
      <c r="AJ105" s="90" t="s">
        <v>1977</v>
      </c>
      <c r="AK105" s="90" t="s">
        <v>1977</v>
      </c>
      <c r="AL105" s="90" t="s">
        <v>1977</v>
      </c>
      <c r="AM105" s="90" t="s">
        <v>1977</v>
      </c>
      <c r="AN105" s="242" t="s">
        <v>1488</v>
      </c>
      <c r="AO105">
        <v>5</v>
      </c>
      <c r="AP105" s="90" t="s">
        <v>1977</v>
      </c>
      <c r="AQ105" s="90" t="s">
        <v>1977</v>
      </c>
      <c r="AR105" s="90" t="s">
        <v>1977</v>
      </c>
      <c r="AS105" s="90" t="s">
        <v>1977</v>
      </c>
      <c r="AT105" s="90" t="s">
        <v>1977</v>
      </c>
      <c r="AU105" s="90" t="s">
        <v>1977</v>
      </c>
      <c r="AV105" s="90" t="s">
        <v>1977</v>
      </c>
      <c r="AW105" s="90" t="s">
        <v>1977</v>
      </c>
      <c r="AX105" s="90">
        <v>100</v>
      </c>
      <c r="AY105" s="90">
        <v>0</v>
      </c>
      <c r="AZ105" t="s">
        <v>167</v>
      </c>
      <c r="BA105" t="s">
        <v>168</v>
      </c>
      <c r="BB105" t="s">
        <v>169</v>
      </c>
      <c r="BC105" t="s">
        <v>1022</v>
      </c>
      <c r="BD105" t="s">
        <v>1344</v>
      </c>
      <c r="BE105" t="s">
        <v>1109</v>
      </c>
      <c r="BF105">
        <v>10</v>
      </c>
      <c r="BG105" t="s">
        <v>1384</v>
      </c>
      <c r="BH105">
        <v>400</v>
      </c>
      <c r="BI105">
        <v>100</v>
      </c>
      <c r="BJ105" t="s">
        <v>1511</v>
      </c>
      <c r="BK105">
        <v>3</v>
      </c>
      <c r="BL105">
        <v>8</v>
      </c>
      <c r="BM105">
        <v>15</v>
      </c>
      <c r="BN105">
        <v>3</v>
      </c>
      <c r="BO105">
        <v>0</v>
      </c>
    </row>
    <row r="106" spans="1:67">
      <c r="A106" t="s">
        <v>96</v>
      </c>
      <c r="B106" s="90" t="s">
        <v>97</v>
      </c>
      <c r="C106" t="s">
        <v>1317</v>
      </c>
      <c r="D106" t="s">
        <v>1619</v>
      </c>
      <c r="E106" s="90">
        <v>0</v>
      </c>
      <c r="F106" s="90">
        <v>0</v>
      </c>
      <c r="G106" s="90">
        <v>0</v>
      </c>
      <c r="H106" s="90">
        <v>0</v>
      </c>
      <c r="I106" s="90">
        <v>0</v>
      </c>
      <c r="J106" s="90">
        <v>0</v>
      </c>
      <c r="K106" s="90">
        <v>0</v>
      </c>
      <c r="L106" s="90">
        <v>0</v>
      </c>
      <c r="M106" s="90">
        <v>15</v>
      </c>
      <c r="N106" s="90">
        <v>0</v>
      </c>
      <c r="O106" s="90">
        <v>4</v>
      </c>
      <c r="P106" s="90">
        <v>1</v>
      </c>
      <c r="Q106" s="90" t="s">
        <v>322</v>
      </c>
      <c r="R106" s="90" t="s">
        <v>322</v>
      </c>
      <c r="S106" s="90" t="s">
        <v>322</v>
      </c>
      <c r="T106" s="90" t="s">
        <v>322</v>
      </c>
      <c r="U106" s="90" t="s">
        <v>322</v>
      </c>
      <c r="V106" s="90" t="s">
        <v>322</v>
      </c>
      <c r="W106" s="168" t="s">
        <v>89</v>
      </c>
      <c r="X106" s="90" t="s">
        <v>1514</v>
      </c>
      <c r="Y106" s="90" t="s">
        <v>2278</v>
      </c>
      <c r="Z106" s="90" t="s">
        <v>2278</v>
      </c>
      <c r="AA106" s="90" t="s">
        <v>1977</v>
      </c>
      <c r="AB106" s="90" t="s">
        <v>1977</v>
      </c>
      <c r="AC106" s="90" t="s">
        <v>1977</v>
      </c>
      <c r="AD106" s="242">
        <v>5</v>
      </c>
      <c r="AE106" s="242">
        <v>5</v>
      </c>
      <c r="AF106" s="90" t="s">
        <v>1977</v>
      </c>
      <c r="AG106" s="90" t="s">
        <v>1977</v>
      </c>
      <c r="AH106" s="90" t="s">
        <v>1977</v>
      </c>
      <c r="AI106" s="90" t="s">
        <v>1977</v>
      </c>
      <c r="AJ106" s="90" t="s">
        <v>1977</v>
      </c>
      <c r="AK106" s="90" t="s">
        <v>1977</v>
      </c>
      <c r="AL106" s="90" t="s">
        <v>1977</v>
      </c>
      <c r="AM106" s="90" t="s">
        <v>1977</v>
      </c>
      <c r="AN106" s="90" t="s">
        <v>1977</v>
      </c>
      <c r="AO106" s="90" t="s">
        <v>1977</v>
      </c>
      <c r="AP106" s="90" t="s">
        <v>1977</v>
      </c>
      <c r="AQ106" s="90" t="s">
        <v>1977</v>
      </c>
      <c r="AR106" s="90" t="s">
        <v>1977</v>
      </c>
      <c r="AS106" s="90" t="s">
        <v>1977</v>
      </c>
      <c r="AT106" s="90" t="s">
        <v>1977</v>
      </c>
      <c r="AU106" s="90" t="s">
        <v>1977</v>
      </c>
      <c r="AV106" s="90" t="s">
        <v>1977</v>
      </c>
      <c r="AW106" s="90" t="s">
        <v>1977</v>
      </c>
      <c r="AX106" s="90">
        <v>140</v>
      </c>
      <c r="AY106" s="90">
        <v>0</v>
      </c>
      <c r="AZ106" t="s">
        <v>324</v>
      </c>
      <c r="BA106" t="s">
        <v>2596</v>
      </c>
      <c r="BB106" t="s">
        <v>96</v>
      </c>
      <c r="BC106" t="s">
        <v>1317</v>
      </c>
      <c r="BD106" t="s">
        <v>97</v>
      </c>
      <c r="BE106" t="s">
        <v>1619</v>
      </c>
      <c r="BF106">
        <v>4</v>
      </c>
      <c r="BG106" t="s">
        <v>326</v>
      </c>
      <c r="BH106">
        <v>100</v>
      </c>
      <c r="BI106">
        <v>140</v>
      </c>
      <c r="BJ106" t="s">
        <v>322</v>
      </c>
      <c r="BK106">
        <v>0</v>
      </c>
      <c r="BL106">
        <v>4</v>
      </c>
      <c r="BM106">
        <v>9</v>
      </c>
      <c r="BN106">
        <v>2</v>
      </c>
      <c r="BO106">
        <v>-1</v>
      </c>
    </row>
    <row r="107" spans="1:67">
      <c r="A107" t="s">
        <v>34</v>
      </c>
      <c r="B107" s="90">
        <v>1</v>
      </c>
      <c r="C107" t="s">
        <v>1022</v>
      </c>
      <c r="D107" t="s">
        <v>1098</v>
      </c>
      <c r="E107" s="90">
        <v>0</v>
      </c>
      <c r="F107" s="90">
        <v>0</v>
      </c>
      <c r="G107" s="90">
        <v>0</v>
      </c>
      <c r="H107" s="90">
        <v>0</v>
      </c>
      <c r="I107" s="90">
        <v>0</v>
      </c>
      <c r="J107" s="90">
        <v>0</v>
      </c>
      <c r="K107" s="90">
        <v>0</v>
      </c>
      <c r="L107" s="90">
        <v>0</v>
      </c>
      <c r="M107" s="90">
        <v>15</v>
      </c>
      <c r="N107" s="90">
        <v>0</v>
      </c>
      <c r="O107" s="90">
        <v>8</v>
      </c>
      <c r="P107" s="90">
        <v>0</v>
      </c>
      <c r="Q107" s="90" t="s">
        <v>322</v>
      </c>
      <c r="R107" s="90" t="s">
        <v>322</v>
      </c>
      <c r="S107" s="90" t="s">
        <v>322</v>
      </c>
      <c r="T107" s="90" t="s">
        <v>322</v>
      </c>
      <c r="U107" s="90" t="s">
        <v>322</v>
      </c>
      <c r="V107" s="90" t="s">
        <v>322</v>
      </c>
      <c r="W107" s="168" t="s">
        <v>27</v>
      </c>
      <c r="X107" s="90" t="s">
        <v>2278</v>
      </c>
      <c r="Y107" s="90" t="s">
        <v>2278</v>
      </c>
      <c r="Z107" s="90" t="s">
        <v>1514</v>
      </c>
      <c r="AA107" s="90" t="s">
        <v>1977</v>
      </c>
      <c r="AB107" s="90" t="s">
        <v>1977</v>
      </c>
      <c r="AC107" s="90" t="s">
        <v>1977</v>
      </c>
      <c r="AD107" s="242">
        <v>10</v>
      </c>
      <c r="AE107" s="242">
        <v>10</v>
      </c>
      <c r="AF107" s="90" t="s">
        <v>1977</v>
      </c>
      <c r="AG107" s="90" t="s">
        <v>1977</v>
      </c>
      <c r="AH107" s="90" t="s">
        <v>1977</v>
      </c>
      <c r="AI107" s="90" t="s">
        <v>1977</v>
      </c>
      <c r="AJ107" s="90" t="s">
        <v>1977</v>
      </c>
      <c r="AK107" s="90" t="s">
        <v>1977</v>
      </c>
      <c r="AL107" s="90" t="s">
        <v>1977</v>
      </c>
      <c r="AM107" s="90" t="s">
        <v>1977</v>
      </c>
      <c r="AN107" s="90" t="s">
        <v>1977</v>
      </c>
      <c r="AO107" s="90" t="s">
        <v>1977</v>
      </c>
      <c r="AP107" s="90" t="s">
        <v>1977</v>
      </c>
      <c r="AQ107" s="90" t="s">
        <v>1977</v>
      </c>
      <c r="AR107" s="90" t="s">
        <v>1977</v>
      </c>
      <c r="AS107" s="90" t="s">
        <v>1977</v>
      </c>
      <c r="AT107" s="90" t="s">
        <v>1977</v>
      </c>
      <c r="AU107" s="90" t="s">
        <v>1977</v>
      </c>
      <c r="AV107" s="90" t="s">
        <v>1977</v>
      </c>
      <c r="AW107" s="90" t="s">
        <v>1977</v>
      </c>
      <c r="AX107" s="90">
        <v>85</v>
      </c>
      <c r="AY107" s="90">
        <v>0</v>
      </c>
      <c r="AZ107" t="s">
        <v>324</v>
      </c>
      <c r="BA107" t="s">
        <v>33</v>
      </c>
      <c r="BB107" t="s">
        <v>34</v>
      </c>
      <c r="BC107" t="s">
        <v>1022</v>
      </c>
      <c r="BD107">
        <v>1</v>
      </c>
      <c r="BE107" t="s">
        <v>1098</v>
      </c>
      <c r="BF107">
        <v>8</v>
      </c>
      <c r="BG107" t="s">
        <v>330</v>
      </c>
      <c r="BH107">
        <v>80</v>
      </c>
      <c r="BI107">
        <v>85</v>
      </c>
      <c r="BJ107" t="s">
        <v>322</v>
      </c>
      <c r="BK107">
        <v>0</v>
      </c>
      <c r="BL107">
        <v>5</v>
      </c>
      <c r="BM107">
        <v>10</v>
      </c>
      <c r="BN107">
        <v>5</v>
      </c>
      <c r="BO107">
        <v>-2</v>
      </c>
    </row>
    <row r="108" spans="1:67">
      <c r="A108" t="s">
        <v>295</v>
      </c>
      <c r="B108" s="90" t="s">
        <v>1344</v>
      </c>
      <c r="C108" t="s">
        <v>1317</v>
      </c>
      <c r="D108" t="s">
        <v>1619</v>
      </c>
      <c r="E108" s="90">
        <v>0</v>
      </c>
      <c r="F108" s="90">
        <v>0</v>
      </c>
      <c r="G108" s="90">
        <v>0</v>
      </c>
      <c r="H108" s="90">
        <v>0</v>
      </c>
      <c r="I108" s="90">
        <v>0</v>
      </c>
      <c r="J108" s="90">
        <v>0</v>
      </c>
      <c r="K108" s="90">
        <v>0</v>
      </c>
      <c r="L108" s="90">
        <v>0</v>
      </c>
      <c r="M108" s="90">
        <v>15</v>
      </c>
      <c r="N108" s="90">
        <v>0</v>
      </c>
      <c r="O108" s="90">
        <v>2</v>
      </c>
      <c r="P108" s="90">
        <v>2</v>
      </c>
      <c r="Q108" s="90" t="s">
        <v>322</v>
      </c>
      <c r="R108" s="90" t="s">
        <v>322</v>
      </c>
      <c r="S108" s="90" t="s">
        <v>322</v>
      </c>
      <c r="T108" s="90" t="s">
        <v>322</v>
      </c>
      <c r="U108" s="90" t="s">
        <v>322</v>
      </c>
      <c r="V108" s="90" t="s">
        <v>322</v>
      </c>
      <c r="W108" s="168" t="s">
        <v>296</v>
      </c>
      <c r="X108" s="90" t="s">
        <v>2139</v>
      </c>
      <c r="Y108" s="90" t="s">
        <v>1260</v>
      </c>
      <c r="Z108" s="90" t="s">
        <v>1977</v>
      </c>
      <c r="AA108" s="90" t="s">
        <v>1977</v>
      </c>
      <c r="AB108" s="90" t="s">
        <v>1977</v>
      </c>
      <c r="AC108" s="90" t="s">
        <v>1977</v>
      </c>
      <c r="AD108" s="242">
        <v>5</v>
      </c>
      <c r="AE108" s="242">
        <v>5</v>
      </c>
      <c r="AF108" s="90" t="s">
        <v>1977</v>
      </c>
      <c r="AG108" s="90" t="s">
        <v>1977</v>
      </c>
      <c r="AH108" s="90" t="s">
        <v>1977</v>
      </c>
      <c r="AI108" s="90" t="s">
        <v>1977</v>
      </c>
      <c r="AJ108" s="90" t="s">
        <v>1977</v>
      </c>
      <c r="AK108" s="90" t="s">
        <v>1977</v>
      </c>
      <c r="AL108" s="90" t="s">
        <v>1977</v>
      </c>
      <c r="AM108" s="90" t="s">
        <v>1977</v>
      </c>
      <c r="AN108" s="90" t="s">
        <v>1977</v>
      </c>
      <c r="AO108" s="90" t="s">
        <v>1977</v>
      </c>
      <c r="AP108" s="90" t="s">
        <v>1977</v>
      </c>
      <c r="AQ108" s="90" t="s">
        <v>1977</v>
      </c>
      <c r="AR108" s="90" t="s">
        <v>1977</v>
      </c>
      <c r="AS108" s="90" t="s">
        <v>1977</v>
      </c>
      <c r="AT108" s="90" t="s">
        <v>1977</v>
      </c>
      <c r="AU108" s="90" t="s">
        <v>1977</v>
      </c>
      <c r="AV108" s="90" t="s">
        <v>1977</v>
      </c>
      <c r="AW108" s="90" t="s">
        <v>1977</v>
      </c>
      <c r="AX108" s="90">
        <v>100</v>
      </c>
      <c r="AY108" s="90">
        <v>0</v>
      </c>
      <c r="AZ108" t="s">
        <v>344</v>
      </c>
      <c r="BA108" t="s">
        <v>2498</v>
      </c>
      <c r="BB108" t="s">
        <v>295</v>
      </c>
      <c r="BC108" t="s">
        <v>1317</v>
      </c>
      <c r="BD108" t="s">
        <v>1344</v>
      </c>
      <c r="BE108" t="s">
        <v>1619</v>
      </c>
      <c r="BF108">
        <v>2</v>
      </c>
      <c r="BG108" t="s">
        <v>326</v>
      </c>
      <c r="BH108">
        <v>10</v>
      </c>
      <c r="BI108">
        <v>100</v>
      </c>
      <c r="BJ108" t="s">
        <v>322</v>
      </c>
      <c r="BK108">
        <v>-4</v>
      </c>
      <c r="BL108">
        <v>1</v>
      </c>
      <c r="BM108">
        <v>2</v>
      </c>
      <c r="BN108">
        <v>0</v>
      </c>
      <c r="BO108">
        <v>0</v>
      </c>
    </row>
    <row r="109" spans="1:67">
      <c r="A109" t="s">
        <v>287</v>
      </c>
      <c r="B109" s="90">
        <v>1</v>
      </c>
      <c r="C109" t="s">
        <v>1022</v>
      </c>
      <c r="D109" t="s">
        <v>1109</v>
      </c>
      <c r="E109" s="90">
        <v>0</v>
      </c>
      <c r="F109" s="90">
        <v>0</v>
      </c>
      <c r="G109" s="90">
        <v>0</v>
      </c>
      <c r="H109" s="90">
        <v>0</v>
      </c>
      <c r="I109" s="90">
        <v>0</v>
      </c>
      <c r="J109" s="90">
        <v>0</v>
      </c>
      <c r="K109" s="90">
        <v>0</v>
      </c>
      <c r="L109" s="90">
        <v>0</v>
      </c>
      <c r="M109" s="90">
        <v>15</v>
      </c>
      <c r="N109" s="90">
        <v>0</v>
      </c>
      <c r="O109" s="90">
        <v>10</v>
      </c>
      <c r="P109" s="90">
        <v>3</v>
      </c>
      <c r="Q109" s="90" t="s">
        <v>1943</v>
      </c>
      <c r="R109" s="90" t="s">
        <v>1943</v>
      </c>
      <c r="S109" s="90" t="s">
        <v>1943</v>
      </c>
      <c r="T109" s="90" t="s">
        <v>1943</v>
      </c>
      <c r="U109" s="90" t="s">
        <v>1943</v>
      </c>
      <c r="V109" s="90" t="s">
        <v>1943</v>
      </c>
      <c r="W109" s="168" t="s">
        <v>288</v>
      </c>
      <c r="X109" s="90" t="s">
        <v>1514</v>
      </c>
      <c r="Y109" s="90" t="s">
        <v>1977</v>
      </c>
      <c r="Z109" s="90" t="s">
        <v>1977</v>
      </c>
      <c r="AA109" s="90" t="s">
        <v>1977</v>
      </c>
      <c r="AB109" s="90" t="s">
        <v>1977</v>
      </c>
      <c r="AC109" s="90" t="s">
        <v>1977</v>
      </c>
      <c r="AD109" s="242">
        <v>15</v>
      </c>
      <c r="AE109" s="242">
        <v>15</v>
      </c>
      <c r="AF109" s="90" t="s">
        <v>1977</v>
      </c>
      <c r="AG109" s="90" t="s">
        <v>1977</v>
      </c>
      <c r="AH109" s="90" t="s">
        <v>1977</v>
      </c>
      <c r="AI109" s="90" t="s">
        <v>1977</v>
      </c>
      <c r="AJ109" s="90" t="s">
        <v>1977</v>
      </c>
      <c r="AK109" s="90" t="s">
        <v>1977</v>
      </c>
      <c r="AL109" s="90" t="s">
        <v>1977</v>
      </c>
      <c r="AM109" s="90" t="s">
        <v>1977</v>
      </c>
      <c r="AN109" s="90" t="s">
        <v>1977</v>
      </c>
      <c r="AO109" s="90" t="s">
        <v>1977</v>
      </c>
      <c r="AP109" s="90" t="s">
        <v>1977</v>
      </c>
      <c r="AQ109" s="90" t="s">
        <v>1977</v>
      </c>
      <c r="AR109" s="90" t="s">
        <v>1977</v>
      </c>
      <c r="AS109" s="90" t="s">
        <v>1977</v>
      </c>
      <c r="AT109" s="90" t="s">
        <v>1977</v>
      </c>
      <c r="AU109" s="90" t="s">
        <v>1977</v>
      </c>
      <c r="AV109" s="90" t="s">
        <v>1977</v>
      </c>
      <c r="AW109" s="90" t="s">
        <v>1977</v>
      </c>
      <c r="AX109" s="90">
        <v>100</v>
      </c>
      <c r="AY109" s="90">
        <v>0</v>
      </c>
      <c r="AZ109" t="s">
        <v>344</v>
      </c>
      <c r="BA109" t="s">
        <v>289</v>
      </c>
      <c r="BB109" t="s">
        <v>287</v>
      </c>
      <c r="BC109" t="s">
        <v>1022</v>
      </c>
      <c r="BD109">
        <v>1</v>
      </c>
      <c r="BE109" t="s">
        <v>1109</v>
      </c>
      <c r="BF109">
        <v>10</v>
      </c>
      <c r="BG109" t="s">
        <v>1384</v>
      </c>
      <c r="BH109">
        <v>500</v>
      </c>
      <c r="BI109">
        <v>100</v>
      </c>
      <c r="BJ109" t="s">
        <v>1943</v>
      </c>
      <c r="BK109">
        <v>0</v>
      </c>
      <c r="BL109">
        <v>1</v>
      </c>
      <c r="BM109">
        <v>6</v>
      </c>
      <c r="BN109">
        <v>20</v>
      </c>
      <c r="BO109">
        <v>0</v>
      </c>
    </row>
    <row r="110" spans="1:67">
      <c r="A110" t="s">
        <v>28</v>
      </c>
      <c r="B110" s="90">
        <v>1</v>
      </c>
      <c r="C110" t="s">
        <v>1022</v>
      </c>
      <c r="D110" t="s">
        <v>1098</v>
      </c>
      <c r="E110" s="90">
        <v>0</v>
      </c>
      <c r="F110" s="90">
        <v>0</v>
      </c>
      <c r="G110" s="90">
        <v>0</v>
      </c>
      <c r="H110" s="90">
        <v>0</v>
      </c>
      <c r="I110" s="90">
        <v>0</v>
      </c>
      <c r="J110" s="90">
        <v>0</v>
      </c>
      <c r="K110" s="90">
        <v>0</v>
      </c>
      <c r="L110" s="90">
        <v>0</v>
      </c>
      <c r="M110" s="90">
        <v>15</v>
      </c>
      <c r="N110" s="90">
        <v>0</v>
      </c>
      <c r="O110" s="90">
        <v>6</v>
      </c>
      <c r="P110" s="90">
        <v>-5</v>
      </c>
      <c r="Q110" s="90" t="s">
        <v>322</v>
      </c>
      <c r="R110" s="90" t="s">
        <v>322</v>
      </c>
      <c r="S110" s="90" t="s">
        <v>322</v>
      </c>
      <c r="T110" s="90" t="s">
        <v>322</v>
      </c>
      <c r="U110" s="90" t="s">
        <v>322</v>
      </c>
      <c r="V110" s="90" t="s">
        <v>322</v>
      </c>
      <c r="W110" s="168" t="s">
        <v>29</v>
      </c>
      <c r="X110" s="90" t="s">
        <v>2278</v>
      </c>
      <c r="Y110" s="90" t="s">
        <v>2278</v>
      </c>
      <c r="Z110" s="90" t="s">
        <v>1514</v>
      </c>
      <c r="AA110" s="90" t="s">
        <v>1977</v>
      </c>
      <c r="AB110" s="90" t="s">
        <v>1977</v>
      </c>
      <c r="AC110" s="90" t="s">
        <v>1977</v>
      </c>
      <c r="AD110" s="242">
        <v>10</v>
      </c>
      <c r="AE110" s="242">
        <v>10</v>
      </c>
      <c r="AF110" s="90" t="s">
        <v>1977</v>
      </c>
      <c r="AG110" s="90" t="s">
        <v>1977</v>
      </c>
      <c r="AH110" s="90" t="s">
        <v>1977</v>
      </c>
      <c r="AI110" s="90" t="s">
        <v>1977</v>
      </c>
      <c r="AJ110" s="90" t="s">
        <v>1977</v>
      </c>
      <c r="AK110" s="90" t="s">
        <v>1977</v>
      </c>
      <c r="AL110" s="90" t="s">
        <v>1977</v>
      </c>
      <c r="AM110" s="90" t="s">
        <v>1977</v>
      </c>
      <c r="AN110" s="90" t="s">
        <v>1977</v>
      </c>
      <c r="AO110" s="90" t="s">
        <v>1977</v>
      </c>
      <c r="AP110" s="90" t="s">
        <v>1977</v>
      </c>
      <c r="AQ110" s="90" t="s">
        <v>1977</v>
      </c>
      <c r="AR110" s="90" t="s">
        <v>1977</v>
      </c>
      <c r="AS110" s="90" t="s">
        <v>1977</v>
      </c>
      <c r="AT110" s="90" t="s">
        <v>1977</v>
      </c>
      <c r="AU110" s="90" t="s">
        <v>1977</v>
      </c>
      <c r="AV110" s="90" t="s">
        <v>1977</v>
      </c>
      <c r="AW110" s="90" t="s">
        <v>1977</v>
      </c>
      <c r="AX110" s="90">
        <v>110</v>
      </c>
      <c r="AY110" s="90">
        <v>0</v>
      </c>
      <c r="AZ110" t="s">
        <v>324</v>
      </c>
      <c r="BA110" t="s">
        <v>30</v>
      </c>
      <c r="BB110" t="s">
        <v>28</v>
      </c>
      <c r="BC110" t="s">
        <v>1022</v>
      </c>
      <c r="BD110">
        <v>1</v>
      </c>
      <c r="BE110" t="s">
        <v>1098</v>
      </c>
      <c r="BF110">
        <v>6</v>
      </c>
      <c r="BG110" t="s">
        <v>330</v>
      </c>
      <c r="BH110">
        <v>10</v>
      </c>
      <c r="BI110">
        <v>110</v>
      </c>
      <c r="BJ110" t="s">
        <v>322</v>
      </c>
      <c r="BK110">
        <v>-4</v>
      </c>
      <c r="BL110">
        <v>1</v>
      </c>
      <c r="BM110">
        <v>1</v>
      </c>
      <c r="BN110">
        <v>1</v>
      </c>
      <c r="BO110">
        <v>0</v>
      </c>
    </row>
    <row r="111" spans="1:67">
      <c r="A111" t="s">
        <v>31</v>
      </c>
      <c r="B111" s="90" t="s">
        <v>276</v>
      </c>
      <c r="C111" t="s">
        <v>1022</v>
      </c>
      <c r="D111" t="s">
        <v>1098</v>
      </c>
      <c r="E111" s="90">
        <v>0</v>
      </c>
      <c r="F111" s="90">
        <v>0</v>
      </c>
      <c r="G111" s="90">
        <v>0</v>
      </c>
      <c r="H111" s="90">
        <v>0</v>
      </c>
      <c r="I111" s="90">
        <v>0</v>
      </c>
      <c r="J111" s="90">
        <v>0</v>
      </c>
      <c r="K111" s="90">
        <v>0</v>
      </c>
      <c r="L111" s="90">
        <v>0</v>
      </c>
      <c r="M111" s="90">
        <v>15</v>
      </c>
      <c r="N111" s="90">
        <v>0</v>
      </c>
      <c r="O111" s="90">
        <v>7</v>
      </c>
      <c r="P111" s="90">
        <v>-3</v>
      </c>
      <c r="Q111" s="90" t="s">
        <v>1943</v>
      </c>
      <c r="R111" s="90" t="s">
        <v>1943</v>
      </c>
      <c r="S111" s="90" t="s">
        <v>1943</v>
      </c>
      <c r="T111" s="90" t="s">
        <v>1943</v>
      </c>
      <c r="U111" s="90" t="s">
        <v>1943</v>
      </c>
      <c r="V111" s="90" t="s">
        <v>1943</v>
      </c>
      <c r="W111" s="168" t="s">
        <v>25</v>
      </c>
      <c r="X111" s="90" t="s">
        <v>1514</v>
      </c>
      <c r="Y111" s="90" t="s">
        <v>2140</v>
      </c>
      <c r="Z111" s="90" t="s">
        <v>1977</v>
      </c>
      <c r="AA111" s="90" t="s">
        <v>1977</v>
      </c>
      <c r="AB111" s="90" t="s">
        <v>1977</v>
      </c>
      <c r="AC111" s="90" t="s">
        <v>1977</v>
      </c>
      <c r="AD111" s="242">
        <v>10</v>
      </c>
      <c r="AE111" s="242">
        <v>10</v>
      </c>
      <c r="AF111" s="90" t="s">
        <v>1977</v>
      </c>
      <c r="AG111" s="90" t="s">
        <v>1977</v>
      </c>
      <c r="AH111" s="90" t="s">
        <v>1977</v>
      </c>
      <c r="AI111" s="90" t="s">
        <v>1977</v>
      </c>
      <c r="AJ111" s="90" t="s">
        <v>1977</v>
      </c>
      <c r="AK111" s="90" t="s">
        <v>1977</v>
      </c>
      <c r="AL111" s="90" t="s">
        <v>1977</v>
      </c>
      <c r="AM111" s="90" t="s">
        <v>1977</v>
      </c>
      <c r="AN111" s="90" t="s">
        <v>1977</v>
      </c>
      <c r="AO111" s="90" t="s">
        <v>1977</v>
      </c>
      <c r="AP111" s="90" t="s">
        <v>1977</v>
      </c>
      <c r="AQ111" s="90" t="s">
        <v>1977</v>
      </c>
      <c r="AR111" s="90" t="s">
        <v>1977</v>
      </c>
      <c r="AS111" s="90" t="s">
        <v>1977</v>
      </c>
      <c r="AT111" s="90" t="s">
        <v>1977</v>
      </c>
      <c r="AU111" s="90" t="s">
        <v>1977</v>
      </c>
      <c r="AV111" s="90" t="s">
        <v>1977</v>
      </c>
      <c r="AW111" s="90" t="s">
        <v>1977</v>
      </c>
      <c r="AX111" s="90">
        <v>100</v>
      </c>
      <c r="AY111" s="90">
        <v>0</v>
      </c>
      <c r="AZ111" t="s">
        <v>324</v>
      </c>
      <c r="BA111" t="s">
        <v>30</v>
      </c>
      <c r="BB111" t="s">
        <v>31</v>
      </c>
      <c r="BC111" t="s">
        <v>1022</v>
      </c>
      <c r="BD111" t="s">
        <v>276</v>
      </c>
      <c r="BE111" t="s">
        <v>1098</v>
      </c>
      <c r="BF111">
        <v>7</v>
      </c>
      <c r="BG111" t="s">
        <v>330</v>
      </c>
      <c r="BH111">
        <v>60</v>
      </c>
      <c r="BI111">
        <v>100</v>
      </c>
      <c r="BJ111" t="s">
        <v>1943</v>
      </c>
      <c r="BK111">
        <v>-1</v>
      </c>
      <c r="BL111">
        <v>3</v>
      </c>
      <c r="BM111">
        <v>6</v>
      </c>
      <c r="BN111">
        <v>2</v>
      </c>
      <c r="BO111">
        <v>-1</v>
      </c>
    </row>
    <row r="112" spans="1:67">
      <c r="A112" t="s">
        <v>249</v>
      </c>
      <c r="B112" s="90" t="s">
        <v>1000</v>
      </c>
      <c r="C112" t="s">
        <v>1022</v>
      </c>
      <c r="D112" t="s">
        <v>1098</v>
      </c>
      <c r="E112" s="90">
        <v>0</v>
      </c>
      <c r="F112" s="90">
        <v>0</v>
      </c>
      <c r="G112" s="90">
        <v>0</v>
      </c>
      <c r="H112" s="90">
        <v>0</v>
      </c>
      <c r="I112" s="90">
        <v>0</v>
      </c>
      <c r="J112" s="90">
        <v>0</v>
      </c>
      <c r="K112" s="90">
        <v>0</v>
      </c>
      <c r="L112" s="90">
        <v>0</v>
      </c>
      <c r="M112" s="90">
        <v>15</v>
      </c>
      <c r="N112" s="90">
        <v>0</v>
      </c>
      <c r="O112" s="90">
        <v>7</v>
      </c>
      <c r="P112" s="90">
        <v>1</v>
      </c>
      <c r="Q112" s="90" t="s">
        <v>1943</v>
      </c>
      <c r="R112" s="90" t="s">
        <v>1943</v>
      </c>
      <c r="S112" s="90" t="s">
        <v>1943</v>
      </c>
      <c r="T112" s="90" t="s">
        <v>1943</v>
      </c>
      <c r="U112" s="90" t="s">
        <v>1943</v>
      </c>
      <c r="V112" s="90" t="s">
        <v>1943</v>
      </c>
      <c r="W112" s="168" t="s">
        <v>250</v>
      </c>
      <c r="X112" s="90" t="s">
        <v>1514</v>
      </c>
      <c r="Y112" s="90" t="s">
        <v>1977</v>
      </c>
      <c r="Z112" s="90" t="s">
        <v>1977</v>
      </c>
      <c r="AA112" s="90" t="s">
        <v>1977</v>
      </c>
      <c r="AB112" s="90" t="s">
        <v>1977</v>
      </c>
      <c r="AC112" s="90" t="s">
        <v>1977</v>
      </c>
      <c r="AD112" s="242">
        <v>10</v>
      </c>
      <c r="AE112" s="242">
        <v>10</v>
      </c>
      <c r="AF112" s="90" t="s">
        <v>1977</v>
      </c>
      <c r="AG112" s="90" t="s">
        <v>1977</v>
      </c>
      <c r="AH112" s="90" t="s">
        <v>1977</v>
      </c>
      <c r="AI112" s="90" t="s">
        <v>1977</v>
      </c>
      <c r="AJ112" s="90" t="s">
        <v>1977</v>
      </c>
      <c r="AK112" s="90" t="s">
        <v>1977</v>
      </c>
      <c r="AL112" s="90" t="s">
        <v>1977</v>
      </c>
      <c r="AM112" s="90" t="s">
        <v>1977</v>
      </c>
      <c r="AN112" s="90" t="s">
        <v>1977</v>
      </c>
      <c r="AO112" s="90" t="s">
        <v>1977</v>
      </c>
      <c r="AP112" s="90" t="s">
        <v>1977</v>
      </c>
      <c r="AQ112" s="90" t="s">
        <v>1977</v>
      </c>
      <c r="AR112" s="90" t="s">
        <v>1977</v>
      </c>
      <c r="AS112" s="90" t="s">
        <v>1977</v>
      </c>
      <c r="AT112" s="90" t="s">
        <v>1977</v>
      </c>
      <c r="AU112" s="90" t="s">
        <v>1977</v>
      </c>
      <c r="AV112" s="90" t="s">
        <v>1977</v>
      </c>
      <c r="AW112" s="90" t="s">
        <v>1977</v>
      </c>
      <c r="AX112" s="90">
        <v>100</v>
      </c>
      <c r="AY112" s="90">
        <v>0</v>
      </c>
      <c r="AZ112" t="s">
        <v>324</v>
      </c>
      <c r="BA112" t="s">
        <v>251</v>
      </c>
      <c r="BB112" t="s">
        <v>249</v>
      </c>
      <c r="BC112" t="s">
        <v>1022</v>
      </c>
      <c r="BD112" t="s">
        <v>1000</v>
      </c>
      <c r="BE112" t="s">
        <v>1098</v>
      </c>
      <c r="BF112">
        <v>7</v>
      </c>
      <c r="BG112" t="s">
        <v>330</v>
      </c>
      <c r="BH112">
        <v>100</v>
      </c>
      <c r="BI112">
        <v>100</v>
      </c>
      <c r="BJ112" t="s">
        <v>1943</v>
      </c>
      <c r="BK112">
        <v>0</v>
      </c>
      <c r="BL112">
        <v>4</v>
      </c>
      <c r="BM112">
        <v>10</v>
      </c>
      <c r="BN112">
        <v>3</v>
      </c>
      <c r="BO112">
        <v>0</v>
      </c>
    </row>
    <row r="113" spans="1:67">
      <c r="A113" t="s">
        <v>158</v>
      </c>
      <c r="B113" s="90">
        <v>1</v>
      </c>
      <c r="C113" t="s">
        <v>1022</v>
      </c>
      <c r="D113" t="s">
        <v>1109</v>
      </c>
      <c r="E113" s="90">
        <v>6</v>
      </c>
      <c r="F113" s="90">
        <v>0</v>
      </c>
      <c r="G113" s="90">
        <v>10</v>
      </c>
      <c r="H113" s="90">
        <v>1</v>
      </c>
      <c r="I113" s="90">
        <v>0</v>
      </c>
      <c r="J113" s="90">
        <v>0</v>
      </c>
      <c r="K113" s="90">
        <v>0</v>
      </c>
      <c r="L113" s="90">
        <v>0</v>
      </c>
      <c r="M113" s="90">
        <v>15</v>
      </c>
      <c r="N113" s="90">
        <v>0</v>
      </c>
      <c r="O113" s="90">
        <v>10</v>
      </c>
      <c r="P113" s="90">
        <v>2</v>
      </c>
      <c r="Q113" s="90" t="s">
        <v>1511</v>
      </c>
      <c r="R113" s="90" t="s">
        <v>1511</v>
      </c>
      <c r="S113" s="90" t="s">
        <v>1511</v>
      </c>
      <c r="T113" s="90" t="s">
        <v>1511</v>
      </c>
      <c r="U113" s="90" t="s">
        <v>1511</v>
      </c>
      <c r="V113" s="90" t="s">
        <v>1511</v>
      </c>
      <c r="W113" s="168" t="s">
        <v>159</v>
      </c>
      <c r="X113" s="90" t="s">
        <v>1514</v>
      </c>
      <c r="Y113" s="90" t="s">
        <v>1977</v>
      </c>
      <c r="Z113" s="90" t="s">
        <v>1977</v>
      </c>
      <c r="AA113" s="90" t="s">
        <v>1977</v>
      </c>
      <c r="AB113" s="90" t="s">
        <v>1977</v>
      </c>
      <c r="AC113" s="90" t="s">
        <v>1977</v>
      </c>
      <c r="AD113" s="242">
        <v>15</v>
      </c>
      <c r="AE113" s="242">
        <v>15</v>
      </c>
      <c r="AF113" s="90" t="s">
        <v>1977</v>
      </c>
      <c r="AG113" s="90" t="s">
        <v>1977</v>
      </c>
      <c r="AH113" s="90" t="s">
        <v>1977</v>
      </c>
      <c r="AI113" s="90" t="s">
        <v>1977</v>
      </c>
      <c r="AJ113" s="90" t="s">
        <v>1977</v>
      </c>
      <c r="AK113" s="90" t="s">
        <v>1977</v>
      </c>
      <c r="AL113" s="90" t="s">
        <v>1977</v>
      </c>
      <c r="AM113" s="90" t="s">
        <v>1977</v>
      </c>
      <c r="AN113" s="242" t="s">
        <v>1488</v>
      </c>
      <c r="AO113">
        <v>7</v>
      </c>
      <c r="AP113" s="90" t="s">
        <v>1977</v>
      </c>
      <c r="AQ113" s="90" t="s">
        <v>1977</v>
      </c>
      <c r="AR113" s="90" t="s">
        <v>1977</v>
      </c>
      <c r="AS113" s="90" t="s">
        <v>1977</v>
      </c>
      <c r="AT113" s="90" t="s">
        <v>1977</v>
      </c>
      <c r="AU113" s="90" t="s">
        <v>1977</v>
      </c>
      <c r="AV113" s="90" t="s">
        <v>1977</v>
      </c>
      <c r="AW113" s="90" t="s">
        <v>1977</v>
      </c>
      <c r="AX113" s="90">
        <v>100</v>
      </c>
      <c r="AY113" s="90">
        <v>0</v>
      </c>
      <c r="AZ113" t="s">
        <v>183</v>
      </c>
      <c r="BA113" t="s">
        <v>154</v>
      </c>
      <c r="BB113" t="s">
        <v>158</v>
      </c>
      <c r="BC113" t="s">
        <v>1022</v>
      </c>
      <c r="BD113">
        <v>1</v>
      </c>
      <c r="BE113" t="s">
        <v>1109</v>
      </c>
      <c r="BF113">
        <v>10</v>
      </c>
      <c r="BG113" t="s">
        <v>1384</v>
      </c>
      <c r="BH113">
        <v>200</v>
      </c>
      <c r="BI113">
        <v>100</v>
      </c>
      <c r="BJ113" t="s">
        <v>1511</v>
      </c>
      <c r="BK113">
        <v>0</v>
      </c>
      <c r="BL113">
        <v>5</v>
      </c>
      <c r="BM113">
        <v>10</v>
      </c>
      <c r="BN113">
        <v>2</v>
      </c>
      <c r="BO113">
        <v>0</v>
      </c>
    </row>
    <row r="114" spans="1:67">
      <c r="A114" t="s">
        <v>270</v>
      </c>
      <c r="B114" s="90" t="s">
        <v>271</v>
      </c>
      <c r="C114" t="s">
        <v>1022</v>
      </c>
      <c r="D114" t="s">
        <v>1109</v>
      </c>
      <c r="E114" s="90">
        <v>9</v>
      </c>
      <c r="F114" s="90">
        <v>0</v>
      </c>
      <c r="G114" s="90">
        <v>0</v>
      </c>
      <c r="H114" s="90">
        <v>0</v>
      </c>
      <c r="I114" s="90">
        <v>0</v>
      </c>
      <c r="J114" s="90">
        <v>0</v>
      </c>
      <c r="K114" s="90">
        <v>0</v>
      </c>
      <c r="L114" s="90">
        <v>0</v>
      </c>
      <c r="M114" s="90">
        <v>15</v>
      </c>
      <c r="N114" s="90">
        <v>0</v>
      </c>
      <c r="O114" s="90">
        <v>1</v>
      </c>
      <c r="P114" s="90">
        <v>3</v>
      </c>
      <c r="Q114" s="90" t="s">
        <v>1489</v>
      </c>
      <c r="R114" s="90" t="s">
        <v>1489</v>
      </c>
      <c r="S114" s="90" t="s">
        <v>1489</v>
      </c>
      <c r="T114" s="90" t="s">
        <v>1489</v>
      </c>
      <c r="U114" s="90" t="s">
        <v>1489</v>
      </c>
      <c r="V114" s="90" t="s">
        <v>1489</v>
      </c>
      <c r="W114" s="168" t="s">
        <v>272</v>
      </c>
      <c r="X114" s="90" t="s">
        <v>1514</v>
      </c>
      <c r="Y114" s="90" t="s">
        <v>2278</v>
      </c>
      <c r="Z114" s="90" t="s">
        <v>2278</v>
      </c>
      <c r="AA114" s="90" t="s">
        <v>1977</v>
      </c>
      <c r="AB114" s="90" t="s">
        <v>1977</v>
      </c>
      <c r="AC114" s="90" t="s">
        <v>1977</v>
      </c>
      <c r="AD114" s="242">
        <v>15</v>
      </c>
      <c r="AE114" s="242">
        <v>15</v>
      </c>
      <c r="AF114" s="90" t="s">
        <v>1977</v>
      </c>
      <c r="AG114" s="90" t="s">
        <v>1977</v>
      </c>
      <c r="AH114" s="242" t="s">
        <v>1736</v>
      </c>
      <c r="AI114" s="242" t="s">
        <v>2368</v>
      </c>
      <c r="AJ114" s="90" t="s">
        <v>1977</v>
      </c>
      <c r="AK114" s="90" t="s">
        <v>1977</v>
      </c>
      <c r="AL114" s="90" t="s">
        <v>1977</v>
      </c>
      <c r="AM114" s="90" t="s">
        <v>1977</v>
      </c>
      <c r="AN114" s="242" t="s">
        <v>1488</v>
      </c>
      <c r="AO114">
        <v>5</v>
      </c>
      <c r="AP114" t="s">
        <v>340</v>
      </c>
      <c r="AQ114">
        <v>6</v>
      </c>
      <c r="AR114" t="s">
        <v>1223</v>
      </c>
      <c r="AS114">
        <v>5</v>
      </c>
      <c r="AT114" s="90" t="s">
        <v>1977</v>
      </c>
      <c r="AU114" s="90" t="s">
        <v>1977</v>
      </c>
      <c r="AV114" s="90" t="s">
        <v>1977</v>
      </c>
      <c r="AW114" s="90" t="s">
        <v>1977</v>
      </c>
      <c r="AX114" s="90">
        <v>100</v>
      </c>
      <c r="AY114" s="90">
        <v>0</v>
      </c>
      <c r="AZ114" t="s">
        <v>273</v>
      </c>
      <c r="BA114" t="s">
        <v>274</v>
      </c>
      <c r="BB114" t="s">
        <v>270</v>
      </c>
      <c r="BC114" t="s">
        <v>1022</v>
      </c>
      <c r="BD114" t="s">
        <v>271</v>
      </c>
      <c r="BE114" t="s">
        <v>1109</v>
      </c>
      <c r="BF114">
        <v>1</v>
      </c>
      <c r="BG114" t="s">
        <v>1384</v>
      </c>
      <c r="BH114">
        <v>500</v>
      </c>
      <c r="BI114">
        <v>100</v>
      </c>
      <c r="BJ114" t="s">
        <v>1489</v>
      </c>
      <c r="BK114">
        <v>6</v>
      </c>
      <c r="BL114">
        <v>1</v>
      </c>
      <c r="BM114">
        <v>6</v>
      </c>
      <c r="BN114">
        <v>30</v>
      </c>
      <c r="BO114">
        <v>3</v>
      </c>
    </row>
    <row r="115" spans="1:67">
      <c r="A115" t="s">
        <v>279</v>
      </c>
      <c r="B115" s="90">
        <v>1</v>
      </c>
      <c r="C115" t="s">
        <v>1317</v>
      </c>
      <c r="D115" t="s">
        <v>1619</v>
      </c>
      <c r="E115" s="90">
        <v>0</v>
      </c>
      <c r="F115" s="90">
        <v>0</v>
      </c>
      <c r="G115" s="90">
        <v>0</v>
      </c>
      <c r="H115" s="90">
        <v>0</v>
      </c>
      <c r="I115" s="90">
        <v>0</v>
      </c>
      <c r="J115" s="90">
        <v>0</v>
      </c>
      <c r="K115" s="90">
        <v>0</v>
      </c>
      <c r="L115" s="90">
        <v>0</v>
      </c>
      <c r="M115" s="90">
        <v>15</v>
      </c>
      <c r="N115" s="90">
        <v>0</v>
      </c>
      <c r="O115" s="90">
        <v>1</v>
      </c>
      <c r="P115" s="90">
        <v>4</v>
      </c>
      <c r="Q115" s="90" t="s">
        <v>1510</v>
      </c>
      <c r="R115" s="90" t="s">
        <v>1510</v>
      </c>
      <c r="S115" s="90" t="s">
        <v>1510</v>
      </c>
      <c r="T115" s="90" t="s">
        <v>1510</v>
      </c>
      <c r="U115" s="90" t="s">
        <v>1510</v>
      </c>
      <c r="V115" s="90" t="s">
        <v>1510</v>
      </c>
      <c r="W115" s="168" t="s">
        <v>280</v>
      </c>
      <c r="X115" s="90" t="s">
        <v>1226</v>
      </c>
      <c r="Y115" s="90" t="s">
        <v>1977</v>
      </c>
      <c r="Z115" s="90" t="s">
        <v>1977</v>
      </c>
      <c r="AA115" s="90" t="s">
        <v>1977</v>
      </c>
      <c r="AB115" s="90" t="s">
        <v>1977</v>
      </c>
      <c r="AC115" s="90" t="s">
        <v>1977</v>
      </c>
      <c r="AD115" s="242">
        <v>5</v>
      </c>
      <c r="AE115" s="242">
        <v>5</v>
      </c>
      <c r="AF115" s="90" t="s">
        <v>1977</v>
      </c>
      <c r="AG115" s="90" t="s">
        <v>1977</v>
      </c>
      <c r="AH115" s="90" t="s">
        <v>1977</v>
      </c>
      <c r="AI115" s="90" t="s">
        <v>1977</v>
      </c>
      <c r="AJ115" s="90" t="s">
        <v>1977</v>
      </c>
      <c r="AK115" s="90" t="s">
        <v>1977</v>
      </c>
      <c r="AL115" s="90" t="s">
        <v>1977</v>
      </c>
      <c r="AM115" s="90" t="s">
        <v>1977</v>
      </c>
      <c r="AN115" s="90" t="s">
        <v>1977</v>
      </c>
      <c r="AO115" s="90" t="s">
        <v>1977</v>
      </c>
      <c r="AP115" s="90" t="s">
        <v>1977</v>
      </c>
      <c r="AQ115" s="90" t="s">
        <v>1977</v>
      </c>
      <c r="AR115" s="90" t="s">
        <v>1977</v>
      </c>
      <c r="AS115" s="90" t="s">
        <v>1977</v>
      </c>
      <c r="AT115" s="90" t="s">
        <v>1977</v>
      </c>
      <c r="AU115" s="90" t="s">
        <v>1977</v>
      </c>
      <c r="AV115" s="90" t="s">
        <v>1977</v>
      </c>
      <c r="AW115" s="90" t="s">
        <v>1977</v>
      </c>
      <c r="AX115" s="90">
        <v>10</v>
      </c>
      <c r="AY115" s="90">
        <v>0</v>
      </c>
      <c r="AZ115" t="s">
        <v>344</v>
      </c>
      <c r="BA115" t="s">
        <v>281</v>
      </c>
      <c r="BB115" t="s">
        <v>279</v>
      </c>
      <c r="BC115" t="s">
        <v>1317</v>
      </c>
      <c r="BD115">
        <v>1</v>
      </c>
      <c r="BE115" t="s">
        <v>1619</v>
      </c>
      <c r="BF115">
        <v>1</v>
      </c>
      <c r="BG115" t="s">
        <v>326</v>
      </c>
      <c r="BH115">
        <v>2400</v>
      </c>
      <c r="BI115">
        <v>10</v>
      </c>
      <c r="BJ115" t="s">
        <v>1510</v>
      </c>
      <c r="BK115">
        <v>1</v>
      </c>
      <c r="BL115">
        <v>1</v>
      </c>
      <c r="BM115">
        <v>6</v>
      </c>
      <c r="BN115">
        <v>10</v>
      </c>
      <c r="BO115">
        <v>10</v>
      </c>
    </row>
    <row r="116" spans="1:67">
      <c r="A116" t="s">
        <v>218</v>
      </c>
      <c r="B116" s="90" t="s">
        <v>334</v>
      </c>
      <c r="C116" t="s">
        <v>1317</v>
      </c>
      <c r="D116" t="s">
        <v>1619</v>
      </c>
      <c r="E116" s="90">
        <v>0</v>
      </c>
      <c r="F116" s="90">
        <v>0</v>
      </c>
      <c r="G116" s="90">
        <v>0</v>
      </c>
      <c r="H116" s="90">
        <v>0</v>
      </c>
      <c r="I116" s="90">
        <v>0</v>
      </c>
      <c r="J116" s="90">
        <v>0</v>
      </c>
      <c r="K116" s="90">
        <v>0</v>
      </c>
      <c r="L116" s="90">
        <v>0</v>
      </c>
      <c r="M116" s="90">
        <v>15</v>
      </c>
      <c r="N116" s="90">
        <v>0</v>
      </c>
      <c r="O116" s="90">
        <v>3</v>
      </c>
      <c r="P116" s="90">
        <v>-8</v>
      </c>
      <c r="Q116" s="90" t="s">
        <v>322</v>
      </c>
      <c r="R116" s="90" t="s">
        <v>322</v>
      </c>
      <c r="S116" s="90" t="s">
        <v>322</v>
      </c>
      <c r="T116" s="90" t="s">
        <v>322</v>
      </c>
      <c r="U116" s="90" t="s">
        <v>322</v>
      </c>
      <c r="V116" s="90" t="s">
        <v>322</v>
      </c>
      <c r="W116" s="168" t="s">
        <v>219</v>
      </c>
      <c r="X116" s="90" t="s">
        <v>1514</v>
      </c>
      <c r="Y116" s="90" t="s">
        <v>2278</v>
      </c>
      <c r="Z116" s="90" t="s">
        <v>2278</v>
      </c>
      <c r="AA116" s="90" t="s">
        <v>1977</v>
      </c>
      <c r="AB116" s="90" t="s">
        <v>1977</v>
      </c>
      <c r="AC116" s="90" t="s">
        <v>1977</v>
      </c>
      <c r="AD116" s="242">
        <v>5</v>
      </c>
      <c r="AE116" s="242">
        <v>5</v>
      </c>
      <c r="AF116" s="90" t="s">
        <v>1977</v>
      </c>
      <c r="AG116" s="90" t="s">
        <v>1977</v>
      </c>
      <c r="AH116" s="90" t="s">
        <v>1977</v>
      </c>
      <c r="AI116" s="90" t="s">
        <v>1977</v>
      </c>
      <c r="AJ116" s="90" t="s">
        <v>1977</v>
      </c>
      <c r="AK116" s="90" t="s">
        <v>1977</v>
      </c>
      <c r="AL116" s="90" t="s">
        <v>1977</v>
      </c>
      <c r="AM116" s="90" t="s">
        <v>1977</v>
      </c>
      <c r="AN116" s="90" t="s">
        <v>1977</v>
      </c>
      <c r="AO116" s="90" t="s">
        <v>1977</v>
      </c>
      <c r="AP116" s="90" t="s">
        <v>1977</v>
      </c>
      <c r="AQ116" s="90" t="s">
        <v>1977</v>
      </c>
      <c r="AR116" s="90" t="s">
        <v>1977</v>
      </c>
      <c r="AS116" s="90" t="s">
        <v>1977</v>
      </c>
      <c r="AT116" s="90" t="s">
        <v>1977</v>
      </c>
      <c r="AU116" s="90" t="s">
        <v>1977</v>
      </c>
      <c r="AV116" s="90" t="s">
        <v>1977</v>
      </c>
      <c r="AW116" s="90" t="s">
        <v>1977</v>
      </c>
      <c r="AX116" s="90">
        <v>80</v>
      </c>
      <c r="AY116" s="90">
        <v>0</v>
      </c>
      <c r="AZ116" t="s">
        <v>216</v>
      </c>
      <c r="BA116" t="s">
        <v>217</v>
      </c>
      <c r="BB116" t="s">
        <v>218</v>
      </c>
      <c r="BC116" t="s">
        <v>1317</v>
      </c>
      <c r="BD116" t="s">
        <v>334</v>
      </c>
      <c r="BE116" t="s">
        <v>1619</v>
      </c>
      <c r="BF116">
        <v>3</v>
      </c>
      <c r="BG116" t="s">
        <v>326</v>
      </c>
      <c r="BH116">
        <v>5</v>
      </c>
      <c r="BI116">
        <v>80</v>
      </c>
      <c r="BJ116" t="s">
        <v>322</v>
      </c>
      <c r="BK116">
        <v>-2</v>
      </c>
      <c r="BL116">
        <v>1</v>
      </c>
      <c r="BM116">
        <v>5</v>
      </c>
      <c r="BN116">
        <v>1</v>
      </c>
      <c r="BO116">
        <v>-3</v>
      </c>
    </row>
    <row r="117" spans="1:67">
      <c r="A117" t="s">
        <v>290</v>
      </c>
      <c r="B117" s="90">
        <v>1</v>
      </c>
      <c r="C117" t="s">
        <v>1022</v>
      </c>
      <c r="D117" t="s">
        <v>2003</v>
      </c>
      <c r="E117" s="90">
        <v>0</v>
      </c>
      <c r="F117" s="90">
        <v>0</v>
      </c>
      <c r="G117" s="90">
        <v>0</v>
      </c>
      <c r="H117" s="90">
        <v>0</v>
      </c>
      <c r="I117" s="90">
        <v>0</v>
      </c>
      <c r="J117" s="90">
        <v>0</v>
      </c>
      <c r="K117" s="90">
        <v>0</v>
      </c>
      <c r="L117" s="90">
        <v>0</v>
      </c>
      <c r="M117" s="90">
        <v>15</v>
      </c>
      <c r="N117" s="90">
        <v>0</v>
      </c>
      <c r="O117" s="90">
        <v>2</v>
      </c>
      <c r="P117" s="90">
        <v>-5</v>
      </c>
      <c r="Q117" s="90" t="s">
        <v>1510</v>
      </c>
      <c r="R117" s="90" t="s">
        <v>1510</v>
      </c>
      <c r="S117" s="90" t="s">
        <v>1510</v>
      </c>
      <c r="T117" s="90" t="s">
        <v>1510</v>
      </c>
      <c r="U117" s="90" t="s">
        <v>1510</v>
      </c>
      <c r="V117" s="90" t="s">
        <v>1510</v>
      </c>
      <c r="W117" s="168" t="s">
        <v>291</v>
      </c>
      <c r="X117" s="90" t="s">
        <v>1514</v>
      </c>
      <c r="Y117" s="90" t="s">
        <v>1977</v>
      </c>
      <c r="Z117" s="90" t="s">
        <v>1977</v>
      </c>
      <c r="AA117" s="90" t="s">
        <v>1977</v>
      </c>
      <c r="AB117" s="90" t="s">
        <v>1977</v>
      </c>
      <c r="AC117" s="90" t="s">
        <v>1977</v>
      </c>
      <c r="AD117" s="242">
        <v>15</v>
      </c>
      <c r="AE117" s="242">
        <v>15</v>
      </c>
      <c r="AF117" s="90" t="s">
        <v>1977</v>
      </c>
      <c r="AG117" s="90" t="s">
        <v>1977</v>
      </c>
      <c r="AH117" s="242" t="s">
        <v>1736</v>
      </c>
      <c r="AI117" s="90" t="s">
        <v>1977</v>
      </c>
      <c r="AJ117" s="90" t="s">
        <v>1977</v>
      </c>
      <c r="AK117" s="90" t="s">
        <v>1977</v>
      </c>
      <c r="AL117" s="90" t="s">
        <v>1977</v>
      </c>
      <c r="AM117" s="90" t="s">
        <v>1977</v>
      </c>
      <c r="AN117" s="90" t="s">
        <v>1977</v>
      </c>
      <c r="AO117" s="90" t="s">
        <v>1977</v>
      </c>
      <c r="AP117" s="90" t="s">
        <v>1977</v>
      </c>
      <c r="AQ117" s="90" t="s">
        <v>1977</v>
      </c>
      <c r="AR117" s="90" t="s">
        <v>1977</v>
      </c>
      <c r="AS117" s="90" t="s">
        <v>1977</v>
      </c>
      <c r="AT117" s="90" t="s">
        <v>1977</v>
      </c>
      <c r="AU117" s="90" t="s">
        <v>1977</v>
      </c>
      <c r="AV117" s="90" t="s">
        <v>1977</v>
      </c>
      <c r="AW117" s="90" t="s">
        <v>1977</v>
      </c>
      <c r="AX117" s="90">
        <v>0</v>
      </c>
      <c r="AY117" s="90">
        <v>0</v>
      </c>
      <c r="AZ117" t="s">
        <v>344</v>
      </c>
      <c r="BA117" t="s">
        <v>2497</v>
      </c>
      <c r="BB117" t="s">
        <v>290</v>
      </c>
      <c r="BC117" t="s">
        <v>1022</v>
      </c>
      <c r="BD117">
        <v>1</v>
      </c>
      <c r="BE117" t="s">
        <v>2003</v>
      </c>
      <c r="BF117">
        <v>2</v>
      </c>
      <c r="BG117" t="s">
        <v>1384</v>
      </c>
      <c r="BH117">
        <v>10</v>
      </c>
      <c r="BI117">
        <v>0</v>
      </c>
      <c r="BJ117" t="s">
        <v>1510</v>
      </c>
      <c r="BK117">
        <v>0</v>
      </c>
      <c r="BL117">
        <v>1</v>
      </c>
      <c r="BM117">
        <v>2</v>
      </c>
      <c r="BN117">
        <v>2</v>
      </c>
      <c r="BO117">
        <v>0</v>
      </c>
    </row>
    <row r="118" spans="1:67">
      <c r="A118" t="s">
        <v>171</v>
      </c>
      <c r="B118" s="90" t="s">
        <v>172</v>
      </c>
      <c r="C118" t="s">
        <v>2277</v>
      </c>
      <c r="D118" t="s">
        <v>1619</v>
      </c>
      <c r="E118" s="90">
        <v>0</v>
      </c>
      <c r="F118" s="90">
        <v>0</v>
      </c>
      <c r="G118" s="90">
        <v>1</v>
      </c>
      <c r="H118" s="90">
        <v>0</v>
      </c>
      <c r="I118" s="90">
        <v>0</v>
      </c>
      <c r="J118" s="90">
        <v>0</v>
      </c>
      <c r="K118" s="90">
        <v>0</v>
      </c>
      <c r="L118" s="90">
        <v>0</v>
      </c>
      <c r="M118" s="90">
        <v>15</v>
      </c>
      <c r="N118" s="90">
        <v>0</v>
      </c>
      <c r="O118" s="90">
        <v>2</v>
      </c>
      <c r="P118" s="90">
        <v>-10</v>
      </c>
      <c r="Q118" s="90" t="s">
        <v>1943</v>
      </c>
      <c r="R118" s="90" t="s">
        <v>1943</v>
      </c>
      <c r="S118" s="90" t="s">
        <v>1943</v>
      </c>
      <c r="T118" s="90" t="s">
        <v>1943</v>
      </c>
      <c r="U118" s="90" t="s">
        <v>1943</v>
      </c>
      <c r="V118" s="90" t="s">
        <v>1943</v>
      </c>
      <c r="W118" s="168" t="s">
        <v>173</v>
      </c>
      <c r="X118" s="90" t="s">
        <v>0</v>
      </c>
      <c r="Y118" s="90" t="s">
        <v>1977</v>
      </c>
      <c r="Z118" s="90" t="s">
        <v>1977</v>
      </c>
      <c r="AA118" s="90" t="s">
        <v>1977</v>
      </c>
      <c r="AB118" s="90" t="s">
        <v>1977</v>
      </c>
      <c r="AC118" s="90" t="s">
        <v>1977</v>
      </c>
      <c r="AD118" s="242">
        <v>5</v>
      </c>
      <c r="AE118" s="242">
        <v>5</v>
      </c>
      <c r="AF118" s="90" t="s">
        <v>1977</v>
      </c>
      <c r="AG118" s="90" t="s">
        <v>1977</v>
      </c>
      <c r="AH118" s="90" t="s">
        <v>1977</v>
      </c>
      <c r="AI118" s="90" t="s">
        <v>1977</v>
      </c>
      <c r="AJ118" s="90" t="s">
        <v>1977</v>
      </c>
      <c r="AK118" s="90" t="s">
        <v>1977</v>
      </c>
      <c r="AL118" s="90" t="s">
        <v>1977</v>
      </c>
      <c r="AM118" s="90" t="s">
        <v>1977</v>
      </c>
      <c r="AN118" s="242" t="s">
        <v>1488</v>
      </c>
      <c r="AO118">
        <v>5</v>
      </c>
      <c r="AP118" s="90" t="s">
        <v>1977</v>
      </c>
      <c r="AQ118" s="90" t="s">
        <v>1977</v>
      </c>
      <c r="AR118" s="90" t="s">
        <v>1977</v>
      </c>
      <c r="AS118" s="90" t="s">
        <v>1977</v>
      </c>
      <c r="AT118" s="90" t="s">
        <v>1977</v>
      </c>
      <c r="AU118" s="90" t="s">
        <v>1977</v>
      </c>
      <c r="AV118" s="90" t="s">
        <v>1977</v>
      </c>
      <c r="AW118" s="90" t="s">
        <v>1977</v>
      </c>
      <c r="AX118" s="90">
        <v>60</v>
      </c>
      <c r="AY118" s="90">
        <v>0</v>
      </c>
      <c r="AZ118" t="s">
        <v>167</v>
      </c>
      <c r="BA118" t="s">
        <v>174</v>
      </c>
      <c r="BB118" t="s">
        <v>171</v>
      </c>
      <c r="BC118" t="s">
        <v>2277</v>
      </c>
      <c r="BD118" t="s">
        <v>172</v>
      </c>
      <c r="BE118" t="s">
        <v>1619</v>
      </c>
      <c r="BF118">
        <v>2</v>
      </c>
      <c r="BG118" t="s">
        <v>326</v>
      </c>
      <c r="BH118">
        <v>0.5</v>
      </c>
      <c r="BI118">
        <v>60</v>
      </c>
      <c r="BJ118" t="s">
        <v>1943</v>
      </c>
      <c r="BK118">
        <v>-3</v>
      </c>
      <c r="BL118">
        <v>1</v>
      </c>
      <c r="BM118">
        <v>2</v>
      </c>
      <c r="BN118">
        <v>1</v>
      </c>
      <c r="BO118">
        <v>0</v>
      </c>
    </row>
    <row r="119" spans="1:67">
      <c r="A119" t="s">
        <v>1286</v>
      </c>
      <c r="B119" s="90" t="s">
        <v>2344</v>
      </c>
      <c r="C119" t="s">
        <v>1022</v>
      </c>
      <c r="D119" t="s">
        <v>1098</v>
      </c>
      <c r="E119" s="90">
        <f>P119</f>
        <v>-2</v>
      </c>
      <c r="F119" s="90">
        <v>0</v>
      </c>
      <c r="G119" s="90">
        <v>2</v>
      </c>
      <c r="H119" s="90">
        <v>0</v>
      </c>
      <c r="I119" s="90">
        <v>0</v>
      </c>
      <c r="J119" s="90">
        <v>0</v>
      </c>
      <c r="K119" s="90">
        <v>0</v>
      </c>
      <c r="L119" s="90">
        <v>0</v>
      </c>
      <c r="M119" s="90">
        <f>IF(C119="Carnivore",15,10)</f>
        <v>15</v>
      </c>
      <c r="N119" s="90">
        <v>2</v>
      </c>
      <c r="O119" s="90">
        <v>-2</v>
      </c>
      <c r="P119" s="90">
        <v>-2</v>
      </c>
      <c r="Q119" s="90" t="s">
        <v>1810</v>
      </c>
      <c r="R119" s="90" t="s">
        <v>1810</v>
      </c>
      <c r="S119" s="90" t="s">
        <v>1810</v>
      </c>
      <c r="T119" s="90" t="s">
        <v>1810</v>
      </c>
      <c r="U119" s="90"/>
      <c r="V119" s="90"/>
      <c r="W119" s="168" t="s">
        <v>1812</v>
      </c>
      <c r="X119" s="90" t="s">
        <v>2361</v>
      </c>
      <c r="Y119" s="90" t="s">
        <v>2361</v>
      </c>
      <c r="Z119" s="90" t="s">
        <v>1977</v>
      </c>
      <c r="AA119" s="90" t="s">
        <v>1977</v>
      </c>
      <c r="AB119" s="90" t="s">
        <v>1977</v>
      </c>
      <c r="AC119" s="90" t="s">
        <v>1977</v>
      </c>
      <c r="AD119" s="242">
        <v>4</v>
      </c>
      <c r="AE119" s="242">
        <v>4</v>
      </c>
      <c r="AF119" s="90" t="s">
        <v>1977</v>
      </c>
      <c r="AG119" s="90" t="s">
        <v>1977</v>
      </c>
      <c r="AH119" s="90" t="s">
        <v>1977</v>
      </c>
      <c r="AI119" s="90" t="s">
        <v>1977</v>
      </c>
      <c r="AJ119" s="90" t="s">
        <v>1977</v>
      </c>
      <c r="AK119" s="90" t="s">
        <v>1977</v>
      </c>
      <c r="AL119" s="90" t="s">
        <v>1977</v>
      </c>
      <c r="AM119" s="90" t="s">
        <v>1977</v>
      </c>
      <c r="AN119" s="90" t="s">
        <v>1977</v>
      </c>
      <c r="AO119" s="90" t="s">
        <v>1977</v>
      </c>
      <c r="AP119" s="90" t="s">
        <v>1977</v>
      </c>
      <c r="AQ119" s="90" t="s">
        <v>1977</v>
      </c>
      <c r="AR119" s="90" t="s">
        <v>1977</v>
      </c>
      <c r="AS119" s="90" t="s">
        <v>1977</v>
      </c>
      <c r="AT119" s="90" t="s">
        <v>1977</v>
      </c>
      <c r="AU119" s="90" t="s">
        <v>1977</v>
      </c>
      <c r="AV119" s="90" t="s">
        <v>1977</v>
      </c>
      <c r="AW119" s="90" t="s">
        <v>1977</v>
      </c>
      <c r="AX119" s="90">
        <v>0</v>
      </c>
      <c r="AY119" s="90">
        <f>IF(U119&gt;0,"Yes",0)</f>
        <v>0</v>
      </c>
      <c r="BA119"/>
    </row>
    <row r="120" spans="1:67">
      <c r="A120" t="s">
        <v>940</v>
      </c>
      <c r="B120" s="90" t="s">
        <v>2343</v>
      </c>
      <c r="C120" t="s">
        <v>1022</v>
      </c>
      <c r="D120" t="s">
        <v>1109</v>
      </c>
      <c r="E120" s="90">
        <f>P120</f>
        <v>-3</v>
      </c>
      <c r="F120" s="90">
        <v>0</v>
      </c>
      <c r="G120" s="90">
        <v>5</v>
      </c>
      <c r="H120" s="90">
        <v>0</v>
      </c>
      <c r="I120" s="90">
        <v>0</v>
      </c>
      <c r="J120" s="90">
        <v>0</v>
      </c>
      <c r="K120" s="90">
        <v>0</v>
      </c>
      <c r="L120" s="90">
        <v>0</v>
      </c>
      <c r="M120" s="90">
        <f>IF(C120="Carnivore",15,10)</f>
        <v>15</v>
      </c>
      <c r="N120" s="90">
        <v>5</v>
      </c>
      <c r="O120" s="90">
        <v>-3</v>
      </c>
      <c r="P120" s="90">
        <v>-3</v>
      </c>
      <c r="Q120" s="90" t="s">
        <v>1943</v>
      </c>
      <c r="R120" s="90" t="s">
        <v>1943</v>
      </c>
      <c r="S120" s="90" t="s">
        <v>1943</v>
      </c>
      <c r="T120" s="90" t="s">
        <v>1943</v>
      </c>
      <c r="U120" s="90"/>
      <c r="V120" s="90"/>
      <c r="W120" s="168" t="s">
        <v>1292</v>
      </c>
      <c r="X120" s="90" t="s">
        <v>1514</v>
      </c>
      <c r="Y120" s="90" t="s">
        <v>1977</v>
      </c>
      <c r="Z120" s="90" t="s">
        <v>1977</v>
      </c>
      <c r="AA120" s="90" t="s">
        <v>1977</v>
      </c>
      <c r="AB120" s="90" t="s">
        <v>1977</v>
      </c>
      <c r="AC120" s="90" t="s">
        <v>1977</v>
      </c>
      <c r="AD120" s="242">
        <v>5</v>
      </c>
      <c r="AE120" s="242">
        <v>4</v>
      </c>
      <c r="AF120" s="90" t="s">
        <v>1977</v>
      </c>
      <c r="AG120" s="90" t="s">
        <v>1977</v>
      </c>
      <c r="AH120" s="90" t="s">
        <v>1977</v>
      </c>
      <c r="AI120" s="90" t="s">
        <v>1977</v>
      </c>
      <c r="AJ120" s="90" t="s">
        <v>1977</v>
      </c>
      <c r="AK120" s="242" t="s">
        <v>1605</v>
      </c>
      <c r="AL120" s="90" t="s">
        <v>1977</v>
      </c>
      <c r="AM120" s="90" t="s">
        <v>1977</v>
      </c>
      <c r="AN120" t="s">
        <v>1027</v>
      </c>
      <c r="AO120" s="90" t="s">
        <v>1977</v>
      </c>
      <c r="AP120" s="90" t="s">
        <v>1977</v>
      </c>
      <c r="AQ120" s="90" t="s">
        <v>1977</v>
      </c>
      <c r="AR120" s="90" t="s">
        <v>1977</v>
      </c>
      <c r="AS120" s="90" t="s">
        <v>1977</v>
      </c>
      <c r="AT120" s="90" t="s">
        <v>1977</v>
      </c>
      <c r="AU120" s="90" t="s">
        <v>1977</v>
      </c>
      <c r="AV120" s="90" t="s">
        <v>1977</v>
      </c>
      <c r="AW120" s="90" t="s">
        <v>1977</v>
      </c>
      <c r="AX120" s="90">
        <v>0</v>
      </c>
      <c r="AY120" s="90">
        <f>IF(U120&gt;0,"Yes",0)</f>
        <v>0</v>
      </c>
      <c r="BA120"/>
    </row>
    <row r="121" spans="1:67">
      <c r="A121" t="s">
        <v>74</v>
      </c>
      <c r="B121" s="90" t="s">
        <v>1000</v>
      </c>
      <c r="C121" t="s">
        <v>1022</v>
      </c>
      <c r="D121" t="s">
        <v>1109</v>
      </c>
      <c r="E121" s="90">
        <v>0</v>
      </c>
      <c r="F121" s="90">
        <v>0</v>
      </c>
      <c r="G121" s="90">
        <v>0</v>
      </c>
      <c r="H121" s="90">
        <v>0</v>
      </c>
      <c r="I121" s="90">
        <v>0</v>
      </c>
      <c r="J121" s="90">
        <v>0</v>
      </c>
      <c r="K121" s="90">
        <v>0</v>
      </c>
      <c r="L121" s="90">
        <v>0</v>
      </c>
      <c r="M121" s="90">
        <v>15</v>
      </c>
      <c r="N121" s="90">
        <v>0</v>
      </c>
      <c r="O121" s="90">
        <v>10</v>
      </c>
      <c r="P121" s="90">
        <v>8</v>
      </c>
      <c r="Q121" s="90" t="s">
        <v>1944</v>
      </c>
      <c r="R121" s="90" t="s">
        <v>1944</v>
      </c>
      <c r="S121" s="90" t="s">
        <v>1944</v>
      </c>
      <c r="T121" s="90" t="s">
        <v>1944</v>
      </c>
      <c r="U121" s="90" t="s">
        <v>1944</v>
      </c>
      <c r="V121" s="90" t="s">
        <v>1944</v>
      </c>
      <c r="W121" s="168" t="s">
        <v>75</v>
      </c>
      <c r="X121" s="90" t="s">
        <v>1514</v>
      </c>
      <c r="Y121" s="90" t="s">
        <v>2139</v>
      </c>
      <c r="Z121" s="90" t="s">
        <v>1977</v>
      </c>
      <c r="AA121" s="90" t="s">
        <v>1977</v>
      </c>
      <c r="AB121" s="90" t="s">
        <v>1977</v>
      </c>
      <c r="AC121" s="90" t="s">
        <v>1977</v>
      </c>
      <c r="AD121" s="242">
        <v>15</v>
      </c>
      <c r="AE121" s="242">
        <v>15</v>
      </c>
      <c r="AF121" s="90" t="s">
        <v>1977</v>
      </c>
      <c r="AG121" s="90" t="s">
        <v>1977</v>
      </c>
      <c r="AH121" s="90" t="s">
        <v>1977</v>
      </c>
      <c r="AI121" s="90" t="s">
        <v>1977</v>
      </c>
      <c r="AJ121" s="90" t="s">
        <v>1977</v>
      </c>
      <c r="AK121" s="90" t="s">
        <v>1977</v>
      </c>
      <c r="AL121" s="90" t="s">
        <v>1977</v>
      </c>
      <c r="AM121" s="90" t="s">
        <v>1977</v>
      </c>
      <c r="AN121" s="90" t="s">
        <v>1977</v>
      </c>
      <c r="AO121" s="90" t="s">
        <v>1977</v>
      </c>
      <c r="AP121" s="90" t="s">
        <v>1977</v>
      </c>
      <c r="AQ121" s="90" t="s">
        <v>1977</v>
      </c>
      <c r="AR121" s="90" t="s">
        <v>1977</v>
      </c>
      <c r="AS121" s="90" t="s">
        <v>1977</v>
      </c>
      <c r="AT121" s="90" t="s">
        <v>1977</v>
      </c>
      <c r="AU121" s="90" t="s">
        <v>1977</v>
      </c>
      <c r="AV121" s="90" t="s">
        <v>1977</v>
      </c>
      <c r="AW121" s="90" t="s">
        <v>1977</v>
      </c>
      <c r="AX121" s="90">
        <v>150</v>
      </c>
      <c r="AY121" s="90">
        <v>0</v>
      </c>
      <c r="AZ121" t="s">
        <v>91</v>
      </c>
      <c r="BA121" t="s">
        <v>79</v>
      </c>
      <c r="BB121" t="s">
        <v>74</v>
      </c>
      <c r="BC121" t="s">
        <v>1022</v>
      </c>
      <c r="BD121" t="s">
        <v>1000</v>
      </c>
      <c r="BE121" t="s">
        <v>1109</v>
      </c>
      <c r="BF121">
        <v>10</v>
      </c>
      <c r="BG121" t="s">
        <v>1384</v>
      </c>
      <c r="BH121">
        <v>50000</v>
      </c>
      <c r="BI121">
        <v>150</v>
      </c>
      <c r="BJ121" t="s">
        <v>1944</v>
      </c>
      <c r="BK121">
        <v>2</v>
      </c>
      <c r="BL121">
        <v>25</v>
      </c>
      <c r="BM121">
        <v>37</v>
      </c>
      <c r="BN121">
        <v>20</v>
      </c>
      <c r="BO121">
        <v>14</v>
      </c>
    </row>
    <row r="122" spans="1:67">
      <c r="A122" t="s">
        <v>70</v>
      </c>
      <c r="B122" s="90" t="s">
        <v>271</v>
      </c>
      <c r="C122" t="s">
        <v>1317</v>
      </c>
      <c r="D122" t="s">
        <v>1619</v>
      </c>
      <c r="E122" s="90">
        <v>0</v>
      </c>
      <c r="F122" s="90">
        <v>0</v>
      </c>
      <c r="G122" s="90">
        <v>0</v>
      </c>
      <c r="H122" s="90">
        <v>0</v>
      </c>
      <c r="I122" s="90">
        <v>0</v>
      </c>
      <c r="J122" s="90">
        <v>0</v>
      </c>
      <c r="K122" s="90">
        <v>0</v>
      </c>
      <c r="L122" s="90">
        <v>0</v>
      </c>
      <c r="M122" s="90">
        <v>15</v>
      </c>
      <c r="N122" s="90">
        <v>0</v>
      </c>
      <c r="O122" s="90">
        <v>3</v>
      </c>
      <c r="P122" s="90">
        <v>-3</v>
      </c>
      <c r="Q122" s="90" t="s">
        <v>322</v>
      </c>
      <c r="R122" s="90" t="s">
        <v>322</v>
      </c>
      <c r="S122" s="90" t="s">
        <v>322</v>
      </c>
      <c r="T122" s="90" t="s">
        <v>322</v>
      </c>
      <c r="U122" s="90" t="s">
        <v>322</v>
      </c>
      <c r="V122" s="90" t="s">
        <v>322</v>
      </c>
      <c r="W122" s="168" t="s">
        <v>71</v>
      </c>
      <c r="X122" s="90" t="s">
        <v>1514</v>
      </c>
      <c r="Y122" s="90" t="s">
        <v>1977</v>
      </c>
      <c r="Z122" s="90" t="s">
        <v>1977</v>
      </c>
      <c r="AA122" s="90" t="s">
        <v>1977</v>
      </c>
      <c r="AB122" s="90" t="s">
        <v>1977</v>
      </c>
      <c r="AC122" s="90" t="s">
        <v>1977</v>
      </c>
      <c r="AD122" s="242">
        <v>5</v>
      </c>
      <c r="AE122" s="242">
        <v>5</v>
      </c>
      <c r="AF122" s="242" t="s">
        <v>1855</v>
      </c>
      <c r="AG122" s="90" t="s">
        <v>1977</v>
      </c>
      <c r="AH122" s="90" t="s">
        <v>1977</v>
      </c>
      <c r="AI122" s="90" t="s">
        <v>1977</v>
      </c>
      <c r="AJ122" s="90" t="s">
        <v>1977</v>
      </c>
      <c r="AK122" s="90" t="s">
        <v>1977</v>
      </c>
      <c r="AL122" s="90" t="s">
        <v>1977</v>
      </c>
      <c r="AM122" s="90" t="s">
        <v>1977</v>
      </c>
      <c r="AN122" s="90" t="s">
        <v>1977</v>
      </c>
      <c r="AO122" s="90" t="s">
        <v>1977</v>
      </c>
      <c r="AP122" s="90" t="s">
        <v>1977</v>
      </c>
      <c r="AQ122" s="90" t="s">
        <v>1977</v>
      </c>
      <c r="AR122" s="90" t="s">
        <v>1977</v>
      </c>
      <c r="AS122" s="90" t="s">
        <v>1977</v>
      </c>
      <c r="AT122" s="90" t="s">
        <v>1977</v>
      </c>
      <c r="AU122" s="90" t="s">
        <v>1977</v>
      </c>
      <c r="AV122" s="90" t="s">
        <v>1977</v>
      </c>
      <c r="AW122" s="90" t="s">
        <v>1977</v>
      </c>
      <c r="AX122" s="90">
        <v>100</v>
      </c>
      <c r="AY122" s="90">
        <v>0</v>
      </c>
      <c r="AZ122" t="s">
        <v>91</v>
      </c>
      <c r="BA122" t="s">
        <v>65</v>
      </c>
      <c r="BB122" t="s">
        <v>70</v>
      </c>
      <c r="BC122" t="s">
        <v>1317</v>
      </c>
      <c r="BD122" t="s">
        <v>271</v>
      </c>
      <c r="BE122" t="s">
        <v>1619</v>
      </c>
      <c r="BF122">
        <v>3</v>
      </c>
      <c r="BG122" t="s">
        <v>326</v>
      </c>
      <c r="BH122">
        <v>20</v>
      </c>
      <c r="BI122">
        <v>100</v>
      </c>
      <c r="BJ122" t="s">
        <v>322</v>
      </c>
      <c r="BK122">
        <v>-3</v>
      </c>
      <c r="BL122">
        <v>1</v>
      </c>
      <c r="BM122">
        <v>4</v>
      </c>
      <c r="BN122">
        <v>1</v>
      </c>
      <c r="BO122">
        <v>-6</v>
      </c>
    </row>
    <row r="123" spans="1:67">
      <c r="A123" t="s">
        <v>188</v>
      </c>
      <c r="B123" s="90" t="s">
        <v>1344</v>
      </c>
      <c r="C123" t="s">
        <v>1022</v>
      </c>
      <c r="D123" t="s">
        <v>1098</v>
      </c>
      <c r="E123" s="90">
        <v>0</v>
      </c>
      <c r="F123" s="90">
        <v>0</v>
      </c>
      <c r="G123" s="90">
        <v>0</v>
      </c>
      <c r="H123" s="90">
        <v>3</v>
      </c>
      <c r="I123" s="90">
        <v>0</v>
      </c>
      <c r="J123" s="90">
        <v>0</v>
      </c>
      <c r="K123" s="90">
        <v>0</v>
      </c>
      <c r="L123" s="90">
        <v>0</v>
      </c>
      <c r="M123" s="90">
        <v>15</v>
      </c>
      <c r="N123" s="90">
        <v>0</v>
      </c>
      <c r="O123" s="90">
        <v>5</v>
      </c>
      <c r="P123" s="90">
        <v>-3</v>
      </c>
      <c r="Q123" s="90" t="s">
        <v>1511</v>
      </c>
      <c r="R123" s="90" t="s">
        <v>1511</v>
      </c>
      <c r="S123" s="90" t="s">
        <v>1511</v>
      </c>
      <c r="T123" s="90" t="s">
        <v>1511</v>
      </c>
      <c r="U123" s="90" t="s">
        <v>1511</v>
      </c>
      <c r="V123" s="90" t="s">
        <v>1511</v>
      </c>
      <c r="W123" s="168" t="s">
        <v>146</v>
      </c>
      <c r="X123" s="90" t="s">
        <v>1514</v>
      </c>
      <c r="Y123" s="90" t="s">
        <v>2278</v>
      </c>
      <c r="Z123" s="90" t="s">
        <v>2278</v>
      </c>
      <c r="AA123" s="90" t="s">
        <v>1977</v>
      </c>
      <c r="AB123" s="90" t="s">
        <v>1977</v>
      </c>
      <c r="AC123" s="90" t="s">
        <v>1977</v>
      </c>
      <c r="AD123" s="242">
        <v>10</v>
      </c>
      <c r="AE123" s="242">
        <v>10</v>
      </c>
      <c r="AF123" s="90" t="s">
        <v>1977</v>
      </c>
      <c r="AG123" s="90" t="s">
        <v>1977</v>
      </c>
      <c r="AH123" s="90" t="s">
        <v>1977</v>
      </c>
      <c r="AI123" s="90" t="s">
        <v>1977</v>
      </c>
      <c r="AJ123" s="90" t="s">
        <v>1977</v>
      </c>
      <c r="AK123" s="90" t="s">
        <v>1977</v>
      </c>
      <c r="AL123" s="90" t="s">
        <v>1977</v>
      </c>
      <c r="AM123" s="90" t="s">
        <v>1977</v>
      </c>
      <c r="AN123" s="242" t="s">
        <v>1488</v>
      </c>
      <c r="AO123">
        <v>7</v>
      </c>
      <c r="AP123" s="90" t="s">
        <v>1977</v>
      </c>
      <c r="AQ123" s="90" t="s">
        <v>1977</v>
      </c>
      <c r="AR123" s="90" t="s">
        <v>1977</v>
      </c>
      <c r="AS123" s="90" t="s">
        <v>1977</v>
      </c>
      <c r="AT123" s="90" t="s">
        <v>1977</v>
      </c>
      <c r="AU123" s="90" t="s">
        <v>1977</v>
      </c>
      <c r="AV123" s="90" t="s">
        <v>1977</v>
      </c>
      <c r="AW123" s="90" t="s">
        <v>1977</v>
      </c>
      <c r="AX123" s="90">
        <v>100</v>
      </c>
      <c r="AY123" s="90">
        <v>0</v>
      </c>
      <c r="AZ123" t="s">
        <v>183</v>
      </c>
      <c r="BA123" t="s">
        <v>184</v>
      </c>
      <c r="BB123" t="s">
        <v>188</v>
      </c>
      <c r="BC123" t="s">
        <v>1022</v>
      </c>
      <c r="BD123" t="s">
        <v>1344</v>
      </c>
      <c r="BE123" t="s">
        <v>1098</v>
      </c>
      <c r="BF123">
        <v>5</v>
      </c>
      <c r="BG123" t="s">
        <v>330</v>
      </c>
      <c r="BH123">
        <v>30</v>
      </c>
      <c r="BI123">
        <v>100</v>
      </c>
      <c r="BJ123" t="s">
        <v>1511</v>
      </c>
      <c r="BK123">
        <v>0</v>
      </c>
      <c r="BL123">
        <v>2</v>
      </c>
      <c r="BM123">
        <v>5</v>
      </c>
      <c r="BN123">
        <v>3</v>
      </c>
      <c r="BO123">
        <v>0</v>
      </c>
    </row>
    <row r="124" spans="1:67">
      <c r="A124" t="s">
        <v>100</v>
      </c>
      <c r="B124" s="90">
        <v>1</v>
      </c>
      <c r="C124" t="s">
        <v>1022</v>
      </c>
      <c r="D124" t="s">
        <v>2003</v>
      </c>
      <c r="E124" s="90">
        <v>0</v>
      </c>
      <c r="F124" s="90">
        <v>0</v>
      </c>
      <c r="G124" s="90">
        <v>0</v>
      </c>
      <c r="H124" s="90">
        <v>0</v>
      </c>
      <c r="I124" s="90">
        <v>0</v>
      </c>
      <c r="J124" s="90">
        <v>0</v>
      </c>
      <c r="K124" s="90">
        <v>0</v>
      </c>
      <c r="L124" s="90">
        <v>0</v>
      </c>
      <c r="M124" s="90">
        <v>15</v>
      </c>
      <c r="N124" s="90">
        <v>0</v>
      </c>
      <c r="O124" s="90">
        <v>4</v>
      </c>
      <c r="P124" s="90">
        <v>3</v>
      </c>
      <c r="Q124" s="90" t="s">
        <v>1943</v>
      </c>
      <c r="R124" s="90" t="s">
        <v>1943</v>
      </c>
      <c r="S124" s="90" t="s">
        <v>1943</v>
      </c>
      <c r="T124" s="90" t="s">
        <v>1943</v>
      </c>
      <c r="U124" s="90" t="s">
        <v>1943</v>
      </c>
      <c r="V124" s="90" t="s">
        <v>1943</v>
      </c>
      <c r="W124" s="168" t="s">
        <v>101</v>
      </c>
      <c r="X124" s="90" t="s">
        <v>2139</v>
      </c>
      <c r="Y124" s="90" t="s">
        <v>2139</v>
      </c>
      <c r="Z124" s="90" t="s">
        <v>1514</v>
      </c>
      <c r="AA124" s="90" t="s">
        <v>1977</v>
      </c>
      <c r="AB124" s="90" t="s">
        <v>1977</v>
      </c>
      <c r="AC124" s="90" t="s">
        <v>1977</v>
      </c>
      <c r="AD124" s="242">
        <v>10</v>
      </c>
      <c r="AE124" s="242">
        <v>10</v>
      </c>
      <c r="AF124" s="90" t="s">
        <v>1977</v>
      </c>
      <c r="AG124" s="90" t="s">
        <v>1977</v>
      </c>
      <c r="AH124" s="90" t="s">
        <v>1977</v>
      </c>
      <c r="AI124" s="90" t="s">
        <v>1977</v>
      </c>
      <c r="AJ124" s="90" t="s">
        <v>1977</v>
      </c>
      <c r="AK124" s="90" t="s">
        <v>1977</v>
      </c>
      <c r="AL124" s="90" t="s">
        <v>1977</v>
      </c>
      <c r="AM124" s="90" t="s">
        <v>1977</v>
      </c>
      <c r="AN124" s="90" t="s">
        <v>1977</v>
      </c>
      <c r="AO124" s="90" t="s">
        <v>1977</v>
      </c>
      <c r="AP124" s="90" t="s">
        <v>1977</v>
      </c>
      <c r="AQ124" s="90" t="s">
        <v>1977</v>
      </c>
      <c r="AR124" s="90" t="s">
        <v>1977</v>
      </c>
      <c r="AS124" s="90" t="s">
        <v>1977</v>
      </c>
      <c r="AT124" s="90" t="s">
        <v>1977</v>
      </c>
      <c r="AU124" s="90" t="s">
        <v>1977</v>
      </c>
      <c r="AV124" s="90" t="s">
        <v>1977</v>
      </c>
      <c r="AW124" s="90" t="s">
        <v>1977</v>
      </c>
      <c r="AX124" s="90">
        <v>55</v>
      </c>
      <c r="AY124" s="90">
        <v>0</v>
      </c>
      <c r="AZ124" t="s">
        <v>216</v>
      </c>
      <c r="BA124" t="s">
        <v>102</v>
      </c>
      <c r="BB124" t="s">
        <v>100</v>
      </c>
      <c r="BC124" t="s">
        <v>1022</v>
      </c>
      <c r="BD124">
        <v>1</v>
      </c>
      <c r="BE124" t="s">
        <v>2003</v>
      </c>
      <c r="BF124">
        <v>4</v>
      </c>
      <c r="BG124" t="s">
        <v>330</v>
      </c>
      <c r="BH124">
        <v>500</v>
      </c>
      <c r="BI124">
        <v>55</v>
      </c>
      <c r="BJ124" t="s">
        <v>1943</v>
      </c>
      <c r="BK124">
        <v>0</v>
      </c>
      <c r="BL124">
        <v>6</v>
      </c>
      <c r="BM124">
        <v>12</v>
      </c>
      <c r="BN124">
        <v>10</v>
      </c>
      <c r="BO124">
        <v>1</v>
      </c>
    </row>
    <row r="125" spans="1:67">
      <c r="A125" t="s">
        <v>1293</v>
      </c>
      <c r="B125" s="90">
        <v>1</v>
      </c>
      <c r="C125" t="s">
        <v>2277</v>
      </c>
      <c r="D125" t="s">
        <v>2003</v>
      </c>
      <c r="E125" s="90">
        <f>P125</f>
        <v>4</v>
      </c>
      <c r="F125" s="90">
        <v>0</v>
      </c>
      <c r="G125" s="90">
        <v>2</v>
      </c>
      <c r="H125" s="90">
        <v>0</v>
      </c>
      <c r="I125" s="90">
        <v>0</v>
      </c>
      <c r="J125" s="90">
        <v>0</v>
      </c>
      <c r="K125" s="90">
        <v>0</v>
      </c>
      <c r="L125" s="90">
        <v>0</v>
      </c>
      <c r="M125" s="90">
        <f>IF(C125="Carnivore",15,10)</f>
        <v>10</v>
      </c>
      <c r="N125" s="90">
        <v>2</v>
      </c>
      <c r="O125" s="90">
        <v>4</v>
      </c>
      <c r="P125" s="90">
        <v>4</v>
      </c>
      <c r="Q125" s="90" t="s">
        <v>1810</v>
      </c>
      <c r="R125" s="90" t="s">
        <v>1810</v>
      </c>
      <c r="S125" s="90" t="s">
        <v>1810</v>
      </c>
      <c r="T125" s="90" t="s">
        <v>1810</v>
      </c>
      <c r="U125" s="90"/>
      <c r="V125" s="90"/>
      <c r="W125" s="168" t="s">
        <v>2359</v>
      </c>
      <c r="X125" s="90" t="s">
        <v>1514</v>
      </c>
      <c r="Y125" s="90" t="s">
        <v>1977</v>
      </c>
      <c r="Z125" s="90" t="s">
        <v>1977</v>
      </c>
      <c r="AA125" s="90" t="s">
        <v>1977</v>
      </c>
      <c r="AB125" s="90" t="s">
        <v>1977</v>
      </c>
      <c r="AC125" s="90" t="s">
        <v>1977</v>
      </c>
      <c r="AD125" s="242">
        <v>6</v>
      </c>
      <c r="AE125" s="242">
        <v>2</v>
      </c>
      <c r="AF125" s="90" t="s">
        <v>1977</v>
      </c>
      <c r="AG125" s="90" t="s">
        <v>1977</v>
      </c>
      <c r="AH125" s="90" t="s">
        <v>1977</v>
      </c>
      <c r="AI125" s="90" t="s">
        <v>1977</v>
      </c>
      <c r="AJ125" s="90" t="s">
        <v>1977</v>
      </c>
      <c r="AK125" s="242" t="s">
        <v>2283</v>
      </c>
      <c r="AL125" s="90" t="s">
        <v>1977</v>
      </c>
      <c r="AM125" s="90" t="s">
        <v>1977</v>
      </c>
      <c r="AN125" t="s">
        <v>1027</v>
      </c>
      <c r="AO125" s="90" t="s">
        <v>1977</v>
      </c>
      <c r="AP125" s="90" t="s">
        <v>1977</v>
      </c>
      <c r="AQ125" s="90" t="s">
        <v>1977</v>
      </c>
      <c r="AR125" s="90" t="s">
        <v>1977</v>
      </c>
      <c r="AS125" s="90" t="s">
        <v>1977</v>
      </c>
      <c r="AT125" s="90" t="s">
        <v>1977</v>
      </c>
      <c r="AU125" s="90" t="s">
        <v>1977</v>
      </c>
      <c r="AV125" s="90" t="s">
        <v>1977</v>
      </c>
      <c r="AW125" s="90" t="s">
        <v>1977</v>
      </c>
      <c r="AX125" s="90">
        <v>-7</v>
      </c>
      <c r="AY125" s="90">
        <f>IF(U125&gt;0,"Yes",0)</f>
        <v>0</v>
      </c>
      <c r="BA125"/>
    </row>
    <row r="126" spans="1:67">
      <c r="A126" t="s">
        <v>72</v>
      </c>
      <c r="B126" s="90" t="s">
        <v>271</v>
      </c>
      <c r="C126" t="s">
        <v>1022</v>
      </c>
      <c r="D126" t="s">
        <v>1098</v>
      </c>
      <c r="E126" s="90">
        <v>0</v>
      </c>
      <c r="F126" s="90">
        <v>0</v>
      </c>
      <c r="G126" s="90">
        <v>0</v>
      </c>
      <c r="H126" s="90">
        <v>0</v>
      </c>
      <c r="I126" s="90">
        <v>0</v>
      </c>
      <c r="J126" s="90">
        <v>0</v>
      </c>
      <c r="K126" s="90">
        <v>0</v>
      </c>
      <c r="L126" s="90">
        <v>0</v>
      </c>
      <c r="M126" s="90">
        <v>15</v>
      </c>
      <c r="N126" s="90">
        <v>0</v>
      </c>
      <c r="O126" s="90">
        <v>5</v>
      </c>
      <c r="P126" s="90">
        <v>0</v>
      </c>
      <c r="Q126" s="90" t="s">
        <v>322</v>
      </c>
      <c r="R126" s="90" t="s">
        <v>322</v>
      </c>
      <c r="S126" s="90" t="s">
        <v>322</v>
      </c>
      <c r="T126" s="90" t="s">
        <v>322</v>
      </c>
      <c r="U126" s="90" t="s">
        <v>322</v>
      </c>
      <c r="V126" s="90" t="s">
        <v>322</v>
      </c>
      <c r="W126" s="168" t="s">
        <v>50</v>
      </c>
      <c r="X126" s="90" t="s">
        <v>1514</v>
      </c>
      <c r="Y126" s="90" t="s">
        <v>2278</v>
      </c>
      <c r="Z126" s="90" t="s">
        <v>2278</v>
      </c>
      <c r="AA126" s="90" t="s">
        <v>1977</v>
      </c>
      <c r="AB126" s="90" t="s">
        <v>1977</v>
      </c>
      <c r="AC126" s="90" t="s">
        <v>1977</v>
      </c>
      <c r="AD126" s="242">
        <v>10</v>
      </c>
      <c r="AE126" s="242">
        <v>10</v>
      </c>
      <c r="AF126" s="242" t="s">
        <v>1855</v>
      </c>
      <c r="AG126" s="90" t="s">
        <v>1977</v>
      </c>
      <c r="AH126" s="90" t="s">
        <v>1977</v>
      </c>
      <c r="AI126" s="90" t="s">
        <v>1977</v>
      </c>
      <c r="AJ126" s="90" t="s">
        <v>1977</v>
      </c>
      <c r="AK126" s="90" t="s">
        <v>1977</v>
      </c>
      <c r="AL126" s="90" t="s">
        <v>1977</v>
      </c>
      <c r="AM126" s="90" t="s">
        <v>1977</v>
      </c>
      <c r="AN126" s="90" t="s">
        <v>1977</v>
      </c>
      <c r="AO126" s="90" t="s">
        <v>1977</v>
      </c>
      <c r="AP126" s="90" t="s">
        <v>1977</v>
      </c>
      <c r="AQ126" s="90" t="s">
        <v>1977</v>
      </c>
      <c r="AR126" s="90" t="s">
        <v>1977</v>
      </c>
      <c r="AS126" s="90" t="s">
        <v>1977</v>
      </c>
      <c r="AT126" s="90" t="s">
        <v>1977</v>
      </c>
      <c r="AU126" s="90" t="s">
        <v>1977</v>
      </c>
      <c r="AV126" s="90" t="s">
        <v>1977</v>
      </c>
      <c r="AW126" s="90" t="s">
        <v>1977</v>
      </c>
      <c r="AX126" s="90">
        <v>85</v>
      </c>
      <c r="AY126" s="90">
        <v>0</v>
      </c>
      <c r="AZ126" t="s">
        <v>91</v>
      </c>
      <c r="BA126" t="s">
        <v>65</v>
      </c>
      <c r="BB126" t="s">
        <v>72</v>
      </c>
      <c r="BC126" t="s">
        <v>1022</v>
      </c>
      <c r="BD126" t="s">
        <v>271</v>
      </c>
      <c r="BE126" t="s">
        <v>1098</v>
      </c>
      <c r="BF126">
        <v>5</v>
      </c>
      <c r="BG126" t="s">
        <v>330</v>
      </c>
      <c r="BH126">
        <v>80</v>
      </c>
      <c r="BI126">
        <v>85</v>
      </c>
      <c r="BJ126" t="s">
        <v>322</v>
      </c>
      <c r="BK126">
        <v>0</v>
      </c>
      <c r="BL126">
        <v>3</v>
      </c>
      <c r="BM126">
        <v>8</v>
      </c>
      <c r="BN126">
        <v>2</v>
      </c>
      <c r="BO126">
        <v>0</v>
      </c>
    </row>
    <row r="127" spans="1:67">
      <c r="A127" t="s">
        <v>136</v>
      </c>
      <c r="B127" s="90" t="s">
        <v>276</v>
      </c>
      <c r="C127" t="s">
        <v>2277</v>
      </c>
      <c r="D127" t="s">
        <v>1619</v>
      </c>
      <c r="E127" s="90">
        <v>0</v>
      </c>
      <c r="F127" s="90">
        <v>0</v>
      </c>
      <c r="G127" s="90">
        <v>0</v>
      </c>
      <c r="H127" s="90">
        <v>0</v>
      </c>
      <c r="I127" s="90">
        <v>0</v>
      </c>
      <c r="J127" s="90">
        <v>0</v>
      </c>
      <c r="K127" s="90">
        <v>0</v>
      </c>
      <c r="L127" s="90">
        <v>0</v>
      </c>
      <c r="M127" s="90">
        <v>15</v>
      </c>
      <c r="N127" s="90">
        <v>0</v>
      </c>
      <c r="O127" s="90">
        <v>2</v>
      </c>
      <c r="P127" s="90">
        <v>4</v>
      </c>
      <c r="Q127" s="90" t="s">
        <v>1519</v>
      </c>
      <c r="R127" s="90" t="s">
        <v>1519</v>
      </c>
      <c r="S127" s="90" t="s">
        <v>1519</v>
      </c>
      <c r="T127" s="90" t="s">
        <v>1519</v>
      </c>
      <c r="U127" s="90" t="s">
        <v>1519</v>
      </c>
      <c r="V127" s="90" t="s">
        <v>1519</v>
      </c>
      <c r="W127" s="168" t="s">
        <v>137</v>
      </c>
      <c r="X127" s="90" t="s">
        <v>1514</v>
      </c>
      <c r="Y127" s="90" t="s">
        <v>2140</v>
      </c>
      <c r="Z127" s="90" t="s">
        <v>1977</v>
      </c>
      <c r="AA127" s="90" t="s">
        <v>1977</v>
      </c>
      <c r="AB127" s="90" t="s">
        <v>1977</v>
      </c>
      <c r="AC127" s="90" t="s">
        <v>1977</v>
      </c>
      <c r="AD127" s="242">
        <v>15</v>
      </c>
      <c r="AE127" s="242">
        <v>15</v>
      </c>
      <c r="AF127" s="90" t="s">
        <v>1977</v>
      </c>
      <c r="AG127" s="90" t="s">
        <v>1977</v>
      </c>
      <c r="AH127" s="90" t="s">
        <v>1977</v>
      </c>
      <c r="AI127" s="90" t="s">
        <v>1977</v>
      </c>
      <c r="AJ127" s="90" t="s">
        <v>1977</v>
      </c>
      <c r="AK127" s="90" t="s">
        <v>1977</v>
      </c>
      <c r="AL127" s="90" t="s">
        <v>1977</v>
      </c>
      <c r="AM127" s="90" t="s">
        <v>1977</v>
      </c>
      <c r="AN127" s="90" t="s">
        <v>1977</v>
      </c>
      <c r="AO127" s="90" t="s">
        <v>1977</v>
      </c>
      <c r="AP127" s="90" t="s">
        <v>1977</v>
      </c>
      <c r="AQ127" s="90" t="s">
        <v>1977</v>
      </c>
      <c r="AR127" s="90" t="s">
        <v>1977</v>
      </c>
      <c r="AS127" s="90" t="s">
        <v>1977</v>
      </c>
      <c r="AT127" s="90" t="s">
        <v>1977</v>
      </c>
      <c r="AU127" s="90" t="s">
        <v>1977</v>
      </c>
      <c r="AV127" s="90" t="s">
        <v>1977</v>
      </c>
      <c r="AW127" s="90" t="s">
        <v>1977</v>
      </c>
      <c r="AX127" s="90">
        <v>50</v>
      </c>
      <c r="AY127" s="90">
        <v>0</v>
      </c>
      <c r="AZ127" t="s">
        <v>324</v>
      </c>
      <c r="BA127" t="s">
        <v>135</v>
      </c>
      <c r="BB127" t="s">
        <v>136</v>
      </c>
      <c r="BC127" t="s">
        <v>2277</v>
      </c>
      <c r="BD127" t="s">
        <v>276</v>
      </c>
      <c r="BE127" t="s">
        <v>1619</v>
      </c>
      <c r="BF127">
        <v>2</v>
      </c>
      <c r="BG127" t="s">
        <v>1384</v>
      </c>
      <c r="BH127">
        <v>1500</v>
      </c>
      <c r="BI127">
        <v>50</v>
      </c>
      <c r="BJ127" t="s">
        <v>1519</v>
      </c>
      <c r="BK127">
        <v>1</v>
      </c>
      <c r="BL127">
        <v>14</v>
      </c>
      <c r="BM127">
        <v>21</v>
      </c>
      <c r="BN127">
        <v>4</v>
      </c>
      <c r="BO127">
        <v>0</v>
      </c>
    </row>
    <row r="128" spans="1:67">
      <c r="A128" t="s">
        <v>160</v>
      </c>
      <c r="B128" s="90" t="s">
        <v>1344</v>
      </c>
      <c r="C128" t="s">
        <v>1022</v>
      </c>
      <c r="D128" t="s">
        <v>1098</v>
      </c>
      <c r="E128" s="90">
        <v>0</v>
      </c>
      <c r="F128" s="90">
        <v>0</v>
      </c>
      <c r="G128" s="90">
        <v>2</v>
      </c>
      <c r="H128" s="90">
        <v>0</v>
      </c>
      <c r="I128" s="90">
        <v>0</v>
      </c>
      <c r="J128" s="90">
        <v>0</v>
      </c>
      <c r="K128" s="90">
        <v>0</v>
      </c>
      <c r="L128" s="90">
        <v>0</v>
      </c>
      <c r="M128" s="90">
        <v>15</v>
      </c>
      <c r="N128" s="90">
        <v>0</v>
      </c>
      <c r="O128" s="90">
        <v>5</v>
      </c>
      <c r="P128" s="90">
        <v>-8</v>
      </c>
      <c r="Q128" s="90" t="s">
        <v>1511</v>
      </c>
      <c r="R128" s="90" t="s">
        <v>1511</v>
      </c>
      <c r="S128" s="90" t="s">
        <v>1511</v>
      </c>
      <c r="T128" s="90" t="s">
        <v>1511</v>
      </c>
      <c r="U128" s="90" t="s">
        <v>1511</v>
      </c>
      <c r="V128" s="90" t="s">
        <v>1511</v>
      </c>
      <c r="W128" s="168" t="s">
        <v>161</v>
      </c>
      <c r="X128" s="90" t="s">
        <v>2139</v>
      </c>
      <c r="Y128" s="90" t="s">
        <v>1226</v>
      </c>
      <c r="Z128" s="90" t="s">
        <v>1977</v>
      </c>
      <c r="AA128" s="90" t="s">
        <v>1977</v>
      </c>
      <c r="AB128" s="90" t="s">
        <v>1977</v>
      </c>
      <c r="AC128" s="90" t="s">
        <v>1977</v>
      </c>
      <c r="AD128" s="242">
        <v>10</v>
      </c>
      <c r="AE128" s="242">
        <v>10</v>
      </c>
      <c r="AF128" s="90" t="s">
        <v>1977</v>
      </c>
      <c r="AG128" s="90" t="s">
        <v>1977</v>
      </c>
      <c r="AH128" s="90" t="s">
        <v>1977</v>
      </c>
      <c r="AI128" s="90" t="s">
        <v>1977</v>
      </c>
      <c r="AJ128" s="90" t="s">
        <v>1977</v>
      </c>
      <c r="AK128" s="90" t="s">
        <v>1977</v>
      </c>
      <c r="AL128" s="90" t="s">
        <v>1977</v>
      </c>
      <c r="AM128" s="90" t="s">
        <v>1977</v>
      </c>
      <c r="AN128" s="242" t="s">
        <v>1488</v>
      </c>
      <c r="AO128">
        <v>5</v>
      </c>
      <c r="AP128" s="90" t="s">
        <v>1977</v>
      </c>
      <c r="AQ128" s="90" t="s">
        <v>1977</v>
      </c>
      <c r="AR128" s="90" t="s">
        <v>1977</v>
      </c>
      <c r="AS128" s="90" t="s">
        <v>1977</v>
      </c>
      <c r="AT128" s="90" t="s">
        <v>1977</v>
      </c>
      <c r="AU128" s="90" t="s">
        <v>1977</v>
      </c>
      <c r="AV128" s="90" t="s">
        <v>1977</v>
      </c>
      <c r="AW128" s="90" t="s">
        <v>1977</v>
      </c>
      <c r="AX128" s="90">
        <v>100</v>
      </c>
      <c r="AY128" s="90">
        <v>0</v>
      </c>
      <c r="AZ128" t="s">
        <v>183</v>
      </c>
      <c r="BA128" t="s">
        <v>154</v>
      </c>
      <c r="BB128" t="s">
        <v>160</v>
      </c>
      <c r="BC128" t="s">
        <v>1022</v>
      </c>
      <c r="BD128" t="s">
        <v>1344</v>
      </c>
      <c r="BE128" t="s">
        <v>1098</v>
      </c>
      <c r="BF128">
        <v>5</v>
      </c>
      <c r="BG128" t="s">
        <v>330</v>
      </c>
      <c r="BH128">
        <v>5</v>
      </c>
      <c r="BI128">
        <v>100</v>
      </c>
      <c r="BJ128" t="s">
        <v>1511</v>
      </c>
      <c r="BK128">
        <v>0</v>
      </c>
      <c r="BL128">
        <v>1</v>
      </c>
      <c r="BM128">
        <v>2</v>
      </c>
      <c r="BN128">
        <v>1</v>
      </c>
      <c r="BO128">
        <v>0</v>
      </c>
    </row>
    <row r="129" spans="1:68">
      <c r="A129" t="s">
        <v>342</v>
      </c>
      <c r="B129" s="90">
        <v>1</v>
      </c>
      <c r="C129" t="s">
        <v>1022</v>
      </c>
      <c r="D129" t="s">
        <v>1098</v>
      </c>
      <c r="E129" s="90">
        <v>1</v>
      </c>
      <c r="F129" s="90">
        <v>0</v>
      </c>
      <c r="G129" s="90">
        <v>-1</v>
      </c>
      <c r="H129" s="90">
        <v>0</v>
      </c>
      <c r="I129" s="90">
        <v>0</v>
      </c>
      <c r="J129" s="90">
        <v>0</v>
      </c>
      <c r="K129" s="90">
        <v>0</v>
      </c>
      <c r="L129" s="90">
        <v>0</v>
      </c>
      <c r="M129" s="90">
        <v>15</v>
      </c>
      <c r="N129" s="90">
        <v>0</v>
      </c>
      <c r="O129" s="90">
        <v>1</v>
      </c>
      <c r="P129" s="90">
        <v>1</v>
      </c>
      <c r="Q129" s="90" t="s">
        <v>1510</v>
      </c>
      <c r="R129" s="90" t="s">
        <v>1510</v>
      </c>
      <c r="S129" s="90" t="s">
        <v>1510</v>
      </c>
      <c r="T129" s="90" t="s">
        <v>1510</v>
      </c>
      <c r="U129" s="90" t="s">
        <v>1510</v>
      </c>
      <c r="V129" s="90" t="s">
        <v>1510</v>
      </c>
      <c r="W129" s="168" t="s">
        <v>343</v>
      </c>
      <c r="X129" s="90" t="s">
        <v>1675</v>
      </c>
      <c r="Y129" s="90" t="s">
        <v>1977</v>
      </c>
      <c r="Z129" s="90" t="s">
        <v>1977</v>
      </c>
      <c r="AA129" s="90" t="s">
        <v>1977</v>
      </c>
      <c r="AB129" s="90" t="s">
        <v>1977</v>
      </c>
      <c r="AC129" s="90" t="s">
        <v>1977</v>
      </c>
      <c r="AD129" s="242">
        <v>10</v>
      </c>
      <c r="AE129" s="242">
        <v>10</v>
      </c>
      <c r="AF129" s="90" t="s">
        <v>1977</v>
      </c>
      <c r="AG129" s="90" t="s">
        <v>1977</v>
      </c>
      <c r="AH129" s="242" t="s">
        <v>1736</v>
      </c>
      <c r="AI129" s="90" t="s">
        <v>1977</v>
      </c>
      <c r="AJ129" s="90" t="s">
        <v>1977</v>
      </c>
      <c r="AK129" s="90" t="s">
        <v>1977</v>
      </c>
      <c r="AL129" s="90" t="s">
        <v>1977</v>
      </c>
      <c r="AM129" s="90" t="s">
        <v>1977</v>
      </c>
      <c r="AN129" s="242" t="s">
        <v>1847</v>
      </c>
      <c r="AO129">
        <v>5</v>
      </c>
      <c r="AP129" t="s">
        <v>1488</v>
      </c>
      <c r="AQ129">
        <v>5</v>
      </c>
      <c r="AR129" s="90" t="s">
        <v>1977</v>
      </c>
      <c r="AS129" s="90" t="s">
        <v>1977</v>
      </c>
      <c r="AT129" s="90" t="s">
        <v>1977</v>
      </c>
      <c r="AU129" s="90" t="s">
        <v>1977</v>
      </c>
      <c r="AV129" s="90" t="s">
        <v>1977</v>
      </c>
      <c r="AW129" s="90" t="s">
        <v>1977</v>
      </c>
      <c r="AX129" s="90">
        <v>50</v>
      </c>
      <c r="AY129" s="90">
        <v>0</v>
      </c>
      <c r="AZ129" t="s">
        <v>344</v>
      </c>
      <c r="BA129" t="s">
        <v>345</v>
      </c>
      <c r="BB129" t="s">
        <v>342</v>
      </c>
      <c r="BC129" t="s">
        <v>1022</v>
      </c>
      <c r="BD129">
        <v>1</v>
      </c>
      <c r="BE129" t="s">
        <v>1098</v>
      </c>
      <c r="BF129">
        <v>1</v>
      </c>
      <c r="BG129" t="s">
        <v>330</v>
      </c>
      <c r="BH129">
        <v>100</v>
      </c>
      <c r="BI129">
        <v>50</v>
      </c>
      <c r="BJ129" t="s">
        <v>1510</v>
      </c>
      <c r="BK129">
        <v>0</v>
      </c>
      <c r="BL129">
        <v>1</v>
      </c>
      <c r="BM129">
        <v>3</v>
      </c>
      <c r="BN129">
        <v>20</v>
      </c>
      <c r="BO129">
        <v>0</v>
      </c>
    </row>
    <row r="130" spans="1:68">
      <c r="A130" t="s">
        <v>145</v>
      </c>
      <c r="B130" s="90" t="s">
        <v>258</v>
      </c>
      <c r="C130" t="s">
        <v>1022</v>
      </c>
      <c r="D130" t="s">
        <v>1619</v>
      </c>
      <c r="E130" s="90">
        <v>0</v>
      </c>
      <c r="F130" s="90">
        <v>0</v>
      </c>
      <c r="G130" s="90">
        <v>0</v>
      </c>
      <c r="H130" s="90">
        <v>0</v>
      </c>
      <c r="I130" s="90">
        <v>0</v>
      </c>
      <c r="J130" s="90">
        <v>0</v>
      </c>
      <c r="K130" s="90">
        <v>0</v>
      </c>
      <c r="L130" s="90">
        <v>0</v>
      </c>
      <c r="M130" s="90">
        <v>15</v>
      </c>
      <c r="N130" s="90">
        <v>0</v>
      </c>
      <c r="O130" s="90">
        <v>3</v>
      </c>
      <c r="P130" s="90">
        <v>-3</v>
      </c>
      <c r="Q130" s="90" t="s">
        <v>1943</v>
      </c>
      <c r="R130" s="90" t="s">
        <v>1943</v>
      </c>
      <c r="S130" s="90" t="s">
        <v>1943</v>
      </c>
      <c r="T130" s="90" t="s">
        <v>1943</v>
      </c>
      <c r="U130" s="90" t="s">
        <v>1943</v>
      </c>
      <c r="V130" s="90" t="s">
        <v>1943</v>
      </c>
      <c r="W130" s="168" t="s">
        <v>126</v>
      </c>
      <c r="X130" s="90" t="s">
        <v>1019</v>
      </c>
      <c r="Y130" s="90" t="s">
        <v>1977</v>
      </c>
      <c r="Z130" s="90" t="s">
        <v>1977</v>
      </c>
      <c r="AA130" s="90" t="s">
        <v>1977</v>
      </c>
      <c r="AB130" s="90" t="s">
        <v>1977</v>
      </c>
      <c r="AC130" s="90" t="s">
        <v>1977</v>
      </c>
      <c r="AD130" s="242">
        <v>10</v>
      </c>
      <c r="AE130" s="242">
        <v>10</v>
      </c>
      <c r="AF130" s="90" t="s">
        <v>1977</v>
      </c>
      <c r="AG130" s="90" t="s">
        <v>1977</v>
      </c>
      <c r="AH130" s="90" t="s">
        <v>1977</v>
      </c>
      <c r="AI130" s="90" t="s">
        <v>1977</v>
      </c>
      <c r="AJ130" s="90" t="s">
        <v>1977</v>
      </c>
      <c r="AK130" s="90" t="s">
        <v>1977</v>
      </c>
      <c r="AL130" s="90" t="s">
        <v>1977</v>
      </c>
      <c r="AM130" s="90" t="s">
        <v>1977</v>
      </c>
      <c r="AN130" s="90" t="s">
        <v>1977</v>
      </c>
      <c r="AO130" s="90" t="s">
        <v>1977</v>
      </c>
      <c r="AP130" s="90" t="s">
        <v>1977</v>
      </c>
      <c r="AQ130" s="90" t="s">
        <v>1977</v>
      </c>
      <c r="AR130" s="90" t="s">
        <v>1977</v>
      </c>
      <c r="AS130" s="90" t="s">
        <v>1977</v>
      </c>
      <c r="AT130" s="90" t="s">
        <v>1977</v>
      </c>
      <c r="AU130" s="90" t="s">
        <v>1977</v>
      </c>
      <c r="AV130" s="90" t="s">
        <v>1977</v>
      </c>
      <c r="AW130" s="90" t="s">
        <v>1977</v>
      </c>
      <c r="AX130" s="90">
        <v>100</v>
      </c>
      <c r="AY130" s="90">
        <v>0</v>
      </c>
      <c r="AZ130" t="s">
        <v>324</v>
      </c>
      <c r="BA130" t="s">
        <v>144</v>
      </c>
      <c r="BB130" t="s">
        <v>145</v>
      </c>
      <c r="BC130" t="s">
        <v>1022</v>
      </c>
      <c r="BD130" t="s">
        <v>258</v>
      </c>
      <c r="BE130" t="s">
        <v>1619</v>
      </c>
      <c r="BF130">
        <v>3</v>
      </c>
      <c r="BG130" t="s">
        <v>330</v>
      </c>
      <c r="BH130">
        <v>60</v>
      </c>
      <c r="BI130">
        <v>100</v>
      </c>
      <c r="BJ130" t="s">
        <v>1943</v>
      </c>
      <c r="BK130">
        <v>-2</v>
      </c>
      <c r="BL130">
        <v>2</v>
      </c>
      <c r="BM130">
        <v>6</v>
      </c>
      <c r="BN130">
        <v>1</v>
      </c>
      <c r="BO130">
        <v>-1</v>
      </c>
    </row>
    <row r="131" spans="1:68">
      <c r="A131" t="s">
        <v>252</v>
      </c>
      <c r="B131" s="90" t="s">
        <v>1344</v>
      </c>
      <c r="C131" t="s">
        <v>1022</v>
      </c>
      <c r="D131" t="s">
        <v>1098</v>
      </c>
      <c r="E131" s="90">
        <v>0</v>
      </c>
      <c r="F131" s="90">
        <v>0</v>
      </c>
      <c r="G131" s="90">
        <v>0</v>
      </c>
      <c r="H131" s="90">
        <v>0</v>
      </c>
      <c r="I131" s="90">
        <v>0</v>
      </c>
      <c r="J131" s="90">
        <v>0</v>
      </c>
      <c r="K131" s="90">
        <v>0</v>
      </c>
      <c r="L131" s="90">
        <v>0</v>
      </c>
      <c r="M131" s="90">
        <v>15</v>
      </c>
      <c r="N131" s="90">
        <v>0</v>
      </c>
      <c r="O131" s="90">
        <v>1</v>
      </c>
      <c r="P131" s="90">
        <v>-3</v>
      </c>
      <c r="Q131" s="90" t="s">
        <v>1943</v>
      </c>
      <c r="R131" s="90" t="s">
        <v>1943</v>
      </c>
      <c r="S131" s="90" t="s">
        <v>1943</v>
      </c>
      <c r="T131" s="90" t="s">
        <v>1943</v>
      </c>
      <c r="U131" s="90" t="s">
        <v>1943</v>
      </c>
      <c r="V131" s="90" t="s">
        <v>1943</v>
      </c>
      <c r="W131" s="168" t="s">
        <v>253</v>
      </c>
      <c r="X131" s="90" t="s">
        <v>2136</v>
      </c>
      <c r="Y131" s="90" t="s">
        <v>1977</v>
      </c>
      <c r="Z131" s="90" t="s">
        <v>1977</v>
      </c>
      <c r="AA131" s="90" t="s">
        <v>1977</v>
      </c>
      <c r="AB131" s="90" t="s">
        <v>1977</v>
      </c>
      <c r="AC131" s="90" t="s">
        <v>1977</v>
      </c>
      <c r="AD131" s="242">
        <v>10</v>
      </c>
      <c r="AE131" s="242">
        <v>10</v>
      </c>
      <c r="AF131" s="90" t="s">
        <v>1977</v>
      </c>
      <c r="AG131" s="90" t="s">
        <v>1977</v>
      </c>
      <c r="AH131" s="90" t="s">
        <v>1977</v>
      </c>
      <c r="AI131" s="90" t="s">
        <v>1977</v>
      </c>
      <c r="AJ131" s="90" t="s">
        <v>1977</v>
      </c>
      <c r="AK131" s="90" t="s">
        <v>1977</v>
      </c>
      <c r="AL131" s="90" t="s">
        <v>1977</v>
      </c>
      <c r="AM131" s="90" t="s">
        <v>1977</v>
      </c>
      <c r="AN131" s="90" t="s">
        <v>1977</v>
      </c>
      <c r="AO131" s="90" t="s">
        <v>1977</v>
      </c>
      <c r="AP131" s="90" t="s">
        <v>1977</v>
      </c>
      <c r="AQ131" s="90" t="s">
        <v>1977</v>
      </c>
      <c r="AR131" s="90" t="s">
        <v>1977</v>
      </c>
      <c r="AS131" s="90" t="s">
        <v>1977</v>
      </c>
      <c r="AT131" s="90" t="s">
        <v>1977</v>
      </c>
      <c r="AU131" s="90" t="s">
        <v>1977</v>
      </c>
      <c r="AV131" s="90" t="s">
        <v>1977</v>
      </c>
      <c r="AW131" s="90" t="s">
        <v>1977</v>
      </c>
      <c r="AX131" s="90">
        <v>30</v>
      </c>
      <c r="AY131" s="90" t="s">
        <v>1876</v>
      </c>
      <c r="AZ131" t="s">
        <v>324</v>
      </c>
      <c r="BA131" t="s">
        <v>251</v>
      </c>
      <c r="BB131" t="s">
        <v>252</v>
      </c>
      <c r="BC131" t="s">
        <v>1022</v>
      </c>
      <c r="BD131" t="s">
        <v>1344</v>
      </c>
      <c r="BE131" t="s">
        <v>1098</v>
      </c>
      <c r="BF131">
        <v>1</v>
      </c>
      <c r="BG131" t="s">
        <v>330</v>
      </c>
      <c r="BH131">
        <v>20</v>
      </c>
      <c r="BI131">
        <v>30</v>
      </c>
      <c r="BJ131" t="s">
        <v>1943</v>
      </c>
      <c r="BK131">
        <v>-2</v>
      </c>
      <c r="BL131">
        <v>3</v>
      </c>
      <c r="BM131">
        <v>3</v>
      </c>
      <c r="BN131">
        <v>2</v>
      </c>
      <c r="BO131">
        <v>-3</v>
      </c>
      <c r="BP131" t="s">
        <v>1876</v>
      </c>
    </row>
    <row r="132" spans="1:68">
      <c r="A132" t="s">
        <v>86</v>
      </c>
      <c r="B132" s="90" t="s">
        <v>1344</v>
      </c>
      <c r="C132" t="s">
        <v>1022</v>
      </c>
      <c r="D132" t="s">
        <v>1098</v>
      </c>
      <c r="E132" s="90">
        <v>0</v>
      </c>
      <c r="F132" s="90">
        <v>0</v>
      </c>
      <c r="G132" s="90">
        <v>0</v>
      </c>
      <c r="H132" s="90">
        <v>0</v>
      </c>
      <c r="I132" s="90">
        <v>0</v>
      </c>
      <c r="J132" s="90">
        <v>0</v>
      </c>
      <c r="K132" s="90">
        <v>0</v>
      </c>
      <c r="L132" s="90">
        <v>0</v>
      </c>
      <c r="M132" s="90">
        <v>15</v>
      </c>
      <c r="N132" s="90">
        <v>0</v>
      </c>
      <c r="O132" s="90">
        <v>4</v>
      </c>
      <c r="P132" s="90">
        <v>-3</v>
      </c>
      <c r="Q132" s="90" t="s">
        <v>322</v>
      </c>
      <c r="R132" s="90" t="s">
        <v>322</v>
      </c>
      <c r="S132" s="90" t="s">
        <v>322</v>
      </c>
      <c r="T132" s="90" t="s">
        <v>322</v>
      </c>
      <c r="U132" s="90" t="s">
        <v>322</v>
      </c>
      <c r="V132" s="90" t="s">
        <v>322</v>
      </c>
      <c r="W132" s="168" t="s">
        <v>87</v>
      </c>
      <c r="X132" s="90" t="s">
        <v>1514</v>
      </c>
      <c r="Y132" s="90" t="s">
        <v>2278</v>
      </c>
      <c r="Z132" s="90" t="s">
        <v>2278</v>
      </c>
      <c r="AA132" s="90" t="s">
        <v>1977</v>
      </c>
      <c r="AB132" s="90" t="s">
        <v>1977</v>
      </c>
      <c r="AC132" s="90" t="s">
        <v>1977</v>
      </c>
      <c r="AD132" s="242">
        <v>10</v>
      </c>
      <c r="AE132" s="242">
        <v>10</v>
      </c>
      <c r="AF132" s="90" t="s">
        <v>1977</v>
      </c>
      <c r="AG132" s="90" t="s">
        <v>1977</v>
      </c>
      <c r="AH132" s="90" t="s">
        <v>1977</v>
      </c>
      <c r="AI132" s="90" t="s">
        <v>1977</v>
      </c>
      <c r="AJ132" s="90" t="s">
        <v>1977</v>
      </c>
      <c r="AK132" s="90" t="s">
        <v>1977</v>
      </c>
      <c r="AL132" s="90" t="s">
        <v>1977</v>
      </c>
      <c r="AM132" s="90" t="s">
        <v>1977</v>
      </c>
      <c r="AN132" s="90" t="s">
        <v>1977</v>
      </c>
      <c r="AO132" s="90" t="s">
        <v>1977</v>
      </c>
      <c r="AP132" s="90" t="s">
        <v>1977</v>
      </c>
      <c r="AQ132" s="90" t="s">
        <v>1977</v>
      </c>
      <c r="AR132" s="90" t="s">
        <v>1977</v>
      </c>
      <c r="AS132" s="90" t="s">
        <v>1977</v>
      </c>
      <c r="AT132" s="90" t="s">
        <v>1977</v>
      </c>
      <c r="AU132" s="90" t="s">
        <v>1977</v>
      </c>
      <c r="AV132" s="90" t="s">
        <v>1977</v>
      </c>
      <c r="AW132" s="90" t="s">
        <v>1977</v>
      </c>
      <c r="AX132" s="90">
        <v>110</v>
      </c>
      <c r="AY132" s="90">
        <v>0</v>
      </c>
      <c r="AZ132" t="s">
        <v>91</v>
      </c>
      <c r="BA132" t="s">
        <v>92</v>
      </c>
      <c r="BB132" t="s">
        <v>86</v>
      </c>
      <c r="BC132" t="s">
        <v>1022</v>
      </c>
      <c r="BD132" t="s">
        <v>1344</v>
      </c>
      <c r="BE132" t="s">
        <v>1098</v>
      </c>
      <c r="BF132">
        <v>4</v>
      </c>
      <c r="BG132" t="s">
        <v>330</v>
      </c>
      <c r="BH132">
        <v>50</v>
      </c>
      <c r="BI132">
        <v>110</v>
      </c>
      <c r="BJ132" t="s">
        <v>322</v>
      </c>
      <c r="BK132">
        <v>0</v>
      </c>
      <c r="BL132">
        <v>2</v>
      </c>
      <c r="BM132">
        <v>5</v>
      </c>
      <c r="BN132">
        <v>2</v>
      </c>
      <c r="BO132">
        <v>0</v>
      </c>
    </row>
    <row r="133" spans="1:68">
      <c r="A133" t="s">
        <v>1296</v>
      </c>
      <c r="B133" s="90">
        <v>1</v>
      </c>
      <c r="C133" t="s">
        <v>1317</v>
      </c>
      <c r="D133" t="s">
        <v>1619</v>
      </c>
      <c r="E133" s="90">
        <f>P133</f>
        <v>3</v>
      </c>
      <c r="F133" s="90">
        <v>0</v>
      </c>
      <c r="G133" s="90">
        <v>-2</v>
      </c>
      <c r="H133" s="90">
        <v>0</v>
      </c>
      <c r="I133" s="90">
        <v>0</v>
      </c>
      <c r="J133" s="90">
        <v>0</v>
      </c>
      <c r="K133" s="90">
        <v>0</v>
      </c>
      <c r="L133" s="90">
        <v>0</v>
      </c>
      <c r="M133" s="90">
        <f>IF(C133="Carnivore",15,10)</f>
        <v>10</v>
      </c>
      <c r="N133" s="90">
        <v>-2</v>
      </c>
      <c r="O133" s="90">
        <v>3</v>
      </c>
      <c r="P133" s="90">
        <v>3</v>
      </c>
      <c r="Q133" s="90" t="s">
        <v>1943</v>
      </c>
      <c r="R133" s="90" t="s">
        <v>1943</v>
      </c>
      <c r="S133" s="90" t="s">
        <v>1943</v>
      </c>
      <c r="T133" s="90" t="s">
        <v>1943</v>
      </c>
      <c r="U133" s="90" t="s">
        <v>1943</v>
      </c>
      <c r="V133" s="90"/>
      <c r="W133" s="168" t="s">
        <v>1177</v>
      </c>
      <c r="X133" s="90" t="s">
        <v>2278</v>
      </c>
      <c r="Y133" s="90" t="s">
        <v>2278</v>
      </c>
      <c r="Z133" s="90" t="s">
        <v>1514</v>
      </c>
      <c r="AA133" s="90" t="s">
        <v>1977</v>
      </c>
      <c r="AB133" s="90" t="s">
        <v>1977</v>
      </c>
      <c r="AC133" s="90" t="s">
        <v>1977</v>
      </c>
      <c r="AD133" s="242">
        <v>4</v>
      </c>
      <c r="AE133" s="242">
        <v>6</v>
      </c>
      <c r="AF133" s="90" t="s">
        <v>1977</v>
      </c>
      <c r="AG133" s="90" t="s">
        <v>1977</v>
      </c>
      <c r="AH133" s="90" t="s">
        <v>1977</v>
      </c>
      <c r="AI133" s="90" t="s">
        <v>1977</v>
      </c>
      <c r="AJ133" s="90" t="s">
        <v>1977</v>
      </c>
      <c r="AK133" s="90" t="s">
        <v>1977</v>
      </c>
      <c r="AL133" s="90" t="s">
        <v>1977</v>
      </c>
      <c r="AM133" s="90" t="s">
        <v>1977</v>
      </c>
      <c r="AN133" s="90" t="s">
        <v>1977</v>
      </c>
      <c r="AO133" s="90" t="s">
        <v>1977</v>
      </c>
      <c r="AP133" s="90" t="s">
        <v>1977</v>
      </c>
      <c r="AQ133" s="90" t="s">
        <v>1977</v>
      </c>
      <c r="AR133" s="90" t="s">
        <v>1977</v>
      </c>
      <c r="AS133" s="90" t="s">
        <v>1977</v>
      </c>
      <c r="AT133" s="90" t="s">
        <v>1977</v>
      </c>
      <c r="AU133" s="90" t="s">
        <v>1977</v>
      </c>
      <c r="AV133" s="90" t="s">
        <v>1977</v>
      </c>
      <c r="AW133" s="90" t="s">
        <v>1977</v>
      </c>
      <c r="AX133" s="90">
        <v>10</v>
      </c>
      <c r="AY133" s="90" t="str">
        <f>IF(U133&gt;0,"Yes",0)</f>
        <v>Yes</v>
      </c>
      <c r="BA133"/>
    </row>
    <row r="134" spans="1:68">
      <c r="A134" t="s">
        <v>127</v>
      </c>
      <c r="B134" s="90" t="s">
        <v>128</v>
      </c>
      <c r="C134" t="s">
        <v>1317</v>
      </c>
      <c r="D134" t="s">
        <v>1619</v>
      </c>
      <c r="E134" s="90">
        <v>0</v>
      </c>
      <c r="F134" s="90">
        <v>0</v>
      </c>
      <c r="G134" s="90">
        <v>0</v>
      </c>
      <c r="H134" s="90">
        <v>0</v>
      </c>
      <c r="I134" s="90">
        <v>0</v>
      </c>
      <c r="J134" s="90">
        <v>0</v>
      </c>
      <c r="K134" s="90">
        <v>0</v>
      </c>
      <c r="L134" s="90">
        <v>0</v>
      </c>
      <c r="M134" s="90">
        <v>15</v>
      </c>
      <c r="N134" s="90">
        <v>0</v>
      </c>
      <c r="O134" s="90">
        <v>2</v>
      </c>
      <c r="P134" s="90">
        <v>2</v>
      </c>
      <c r="Q134" s="90" t="s">
        <v>1519</v>
      </c>
      <c r="R134" s="90" t="s">
        <v>1519</v>
      </c>
      <c r="S134" s="90" t="s">
        <v>1519</v>
      </c>
      <c r="T134" s="90" t="s">
        <v>1519</v>
      </c>
      <c r="U134" s="90" t="s">
        <v>1519</v>
      </c>
      <c r="V134" s="90" t="s">
        <v>1519</v>
      </c>
      <c r="W134" s="168" t="s">
        <v>129</v>
      </c>
      <c r="X134" s="90" t="s">
        <v>1019</v>
      </c>
      <c r="Y134" s="90" t="s">
        <v>1977</v>
      </c>
      <c r="Z134" s="90" t="s">
        <v>1977</v>
      </c>
      <c r="AA134" s="90" t="s">
        <v>1977</v>
      </c>
      <c r="AB134" s="90" t="s">
        <v>1977</v>
      </c>
      <c r="AC134" s="90" t="s">
        <v>1977</v>
      </c>
      <c r="AD134" s="242">
        <v>5</v>
      </c>
      <c r="AE134" s="242">
        <v>5</v>
      </c>
      <c r="AF134" s="90" t="s">
        <v>1977</v>
      </c>
      <c r="AG134" s="90" t="s">
        <v>1977</v>
      </c>
      <c r="AH134" s="90" t="s">
        <v>1977</v>
      </c>
      <c r="AI134" s="90" t="s">
        <v>1977</v>
      </c>
      <c r="AJ134" s="90" t="s">
        <v>1977</v>
      </c>
      <c r="AK134" s="90" t="s">
        <v>1977</v>
      </c>
      <c r="AL134" s="90" t="s">
        <v>1977</v>
      </c>
      <c r="AM134" s="90" t="s">
        <v>1977</v>
      </c>
      <c r="AN134" s="90" t="s">
        <v>1977</v>
      </c>
      <c r="AO134" s="90" t="s">
        <v>1977</v>
      </c>
      <c r="AP134" s="90" t="s">
        <v>1977</v>
      </c>
      <c r="AQ134" s="90" t="s">
        <v>1977</v>
      </c>
      <c r="AR134" s="90" t="s">
        <v>1977</v>
      </c>
      <c r="AS134" s="90" t="s">
        <v>1977</v>
      </c>
      <c r="AT134" s="90" t="s">
        <v>1977</v>
      </c>
      <c r="AU134" s="90" t="s">
        <v>1977</v>
      </c>
      <c r="AV134" s="90" t="s">
        <v>1977</v>
      </c>
      <c r="AW134" s="90" t="s">
        <v>1977</v>
      </c>
      <c r="AX134" s="90">
        <v>90</v>
      </c>
      <c r="AY134" s="90">
        <v>0</v>
      </c>
      <c r="AZ134" t="s">
        <v>324</v>
      </c>
      <c r="BA134" t="s">
        <v>144</v>
      </c>
      <c r="BB134" t="s">
        <v>127</v>
      </c>
      <c r="BC134" t="s">
        <v>1317</v>
      </c>
      <c r="BD134" t="s">
        <v>128</v>
      </c>
      <c r="BE134" t="s">
        <v>1619</v>
      </c>
      <c r="BF134">
        <v>2</v>
      </c>
      <c r="BG134" t="s">
        <v>326</v>
      </c>
      <c r="BH134">
        <v>200</v>
      </c>
      <c r="BI134">
        <v>90</v>
      </c>
      <c r="BJ134" t="s">
        <v>1519</v>
      </c>
      <c r="BK134">
        <v>0</v>
      </c>
      <c r="BL134">
        <v>6</v>
      </c>
      <c r="BM134">
        <v>14</v>
      </c>
      <c r="BN134">
        <v>5</v>
      </c>
      <c r="BO134">
        <v>0</v>
      </c>
    </row>
    <row r="135" spans="1:68">
      <c r="A135" t="s">
        <v>1178</v>
      </c>
      <c r="B135" s="90" t="s">
        <v>1348</v>
      </c>
      <c r="C135" t="s">
        <v>2277</v>
      </c>
      <c r="D135" t="s">
        <v>2003</v>
      </c>
      <c r="E135" s="90">
        <f>P135</f>
        <v>-4</v>
      </c>
      <c r="F135" s="90">
        <v>0</v>
      </c>
      <c r="G135" s="90">
        <v>2</v>
      </c>
      <c r="H135" s="90">
        <v>0</v>
      </c>
      <c r="I135" s="90">
        <v>0</v>
      </c>
      <c r="J135" s="90">
        <v>0</v>
      </c>
      <c r="K135" s="90">
        <v>1</v>
      </c>
      <c r="L135" s="90">
        <v>0</v>
      </c>
      <c r="M135" s="90">
        <f>IF(C135="Carnivore",15,10)</f>
        <v>10</v>
      </c>
      <c r="N135" s="90">
        <v>2</v>
      </c>
      <c r="O135" s="90">
        <v>-4</v>
      </c>
      <c r="P135" s="90">
        <v>-4</v>
      </c>
      <c r="Q135" s="90" t="s">
        <v>1943</v>
      </c>
      <c r="R135" s="90" t="s">
        <v>1943</v>
      </c>
      <c r="S135" s="90" t="s">
        <v>1943</v>
      </c>
      <c r="T135" s="90" t="s">
        <v>1943</v>
      </c>
      <c r="U135" s="90"/>
      <c r="V135" s="90"/>
      <c r="W135" s="168" t="s">
        <v>1867</v>
      </c>
      <c r="X135" s="90" t="s">
        <v>2278</v>
      </c>
      <c r="Y135" s="90" t="s">
        <v>2278</v>
      </c>
      <c r="Z135" s="90" t="s">
        <v>1514</v>
      </c>
      <c r="AA135" s="90" t="s">
        <v>1977</v>
      </c>
      <c r="AB135" s="90" t="s">
        <v>1977</v>
      </c>
      <c r="AC135" s="90" t="s">
        <v>1977</v>
      </c>
      <c r="AD135" s="99">
        <v>6</v>
      </c>
      <c r="AE135" s="99">
        <v>6</v>
      </c>
      <c r="AF135" s="90" t="s">
        <v>1977</v>
      </c>
      <c r="AG135" s="90" t="s">
        <v>1977</v>
      </c>
      <c r="AH135" s="99" t="s">
        <v>2284</v>
      </c>
      <c r="AI135" s="90" t="s">
        <v>1977</v>
      </c>
      <c r="AJ135" s="90" t="s">
        <v>1977</v>
      </c>
      <c r="AK135" s="99" t="s">
        <v>2285</v>
      </c>
      <c r="AL135" s="90" t="s">
        <v>1977</v>
      </c>
      <c r="AM135" s="90" t="s">
        <v>1977</v>
      </c>
      <c r="AN135" s="99" t="s">
        <v>1846</v>
      </c>
      <c r="AO135" s="90" t="s">
        <v>1977</v>
      </c>
      <c r="AP135" s="90" t="s">
        <v>1977</v>
      </c>
      <c r="AQ135" s="90" t="s">
        <v>1977</v>
      </c>
      <c r="AR135" s="90" t="s">
        <v>1977</v>
      </c>
      <c r="AS135" s="90" t="s">
        <v>1977</v>
      </c>
      <c r="AT135" s="90" t="s">
        <v>1977</v>
      </c>
      <c r="AU135" s="90" t="s">
        <v>1977</v>
      </c>
      <c r="AV135" s="90" t="s">
        <v>1977</v>
      </c>
      <c r="AW135" s="90" t="s">
        <v>1977</v>
      </c>
      <c r="AX135" s="90">
        <v>0</v>
      </c>
      <c r="AY135" s="90">
        <f>IF(U135&gt;0,"Yes",0)</f>
        <v>0</v>
      </c>
      <c r="BA135"/>
    </row>
    <row r="136" spans="1:68">
      <c r="A136" t="s">
        <v>244</v>
      </c>
      <c r="B136" s="90">
        <v>1</v>
      </c>
      <c r="C136" t="s">
        <v>1022</v>
      </c>
      <c r="D136" t="s">
        <v>2003</v>
      </c>
      <c r="E136" s="90">
        <v>0</v>
      </c>
      <c r="F136" s="90">
        <v>0</v>
      </c>
      <c r="G136" s="90">
        <v>0</v>
      </c>
      <c r="H136" s="90">
        <v>0</v>
      </c>
      <c r="I136" s="90">
        <v>0</v>
      </c>
      <c r="J136" s="90">
        <v>0</v>
      </c>
      <c r="K136" s="90">
        <v>0</v>
      </c>
      <c r="L136" s="90">
        <v>0</v>
      </c>
      <c r="M136" s="90">
        <v>15</v>
      </c>
      <c r="N136" s="90">
        <v>0</v>
      </c>
      <c r="O136" s="90">
        <v>10</v>
      </c>
      <c r="P136" s="90">
        <v>-3</v>
      </c>
      <c r="Q136" s="90" t="s">
        <v>1510</v>
      </c>
      <c r="R136" s="90" t="s">
        <v>1510</v>
      </c>
      <c r="S136" s="90" t="s">
        <v>1510</v>
      </c>
      <c r="T136" s="90" t="s">
        <v>1510</v>
      </c>
      <c r="U136" s="90" t="s">
        <v>1510</v>
      </c>
      <c r="V136" s="90" t="s">
        <v>1510</v>
      </c>
      <c r="W136" s="168" t="s">
        <v>245</v>
      </c>
      <c r="X136" s="90" t="s">
        <v>1608</v>
      </c>
      <c r="Y136" s="90" t="s">
        <v>1977</v>
      </c>
      <c r="Z136" s="90" t="s">
        <v>1977</v>
      </c>
      <c r="AA136" s="90" t="s">
        <v>1977</v>
      </c>
      <c r="AB136" s="90" t="s">
        <v>1977</v>
      </c>
      <c r="AC136" s="90" t="s">
        <v>1977</v>
      </c>
      <c r="AD136" s="99">
        <v>15</v>
      </c>
      <c r="AE136" s="99">
        <v>15</v>
      </c>
      <c r="AF136" s="90" t="s">
        <v>1977</v>
      </c>
      <c r="AG136" s="90" t="s">
        <v>1977</v>
      </c>
      <c r="AH136" s="90" t="s">
        <v>1977</v>
      </c>
      <c r="AI136" s="90" t="s">
        <v>1977</v>
      </c>
      <c r="AJ136" s="90" t="s">
        <v>1977</v>
      </c>
      <c r="AK136" s="90" t="s">
        <v>1977</v>
      </c>
      <c r="AL136" s="90" t="s">
        <v>1977</v>
      </c>
      <c r="AM136" s="90" t="s">
        <v>1977</v>
      </c>
      <c r="AN136" s="90" t="s">
        <v>1977</v>
      </c>
      <c r="AO136" s="90" t="s">
        <v>1977</v>
      </c>
      <c r="AP136" s="90" t="s">
        <v>1977</v>
      </c>
      <c r="AQ136" s="90" t="s">
        <v>1977</v>
      </c>
      <c r="AR136" s="90" t="s">
        <v>1977</v>
      </c>
      <c r="AS136" s="90" t="s">
        <v>1977</v>
      </c>
      <c r="AT136" s="90" t="s">
        <v>1977</v>
      </c>
      <c r="AU136" s="90" t="s">
        <v>1977</v>
      </c>
      <c r="AV136" s="90" t="s">
        <v>1977</v>
      </c>
      <c r="AW136" s="90" t="s">
        <v>1977</v>
      </c>
      <c r="AX136" s="90">
        <v>90</v>
      </c>
      <c r="AY136" s="90">
        <v>0</v>
      </c>
      <c r="AZ136" t="s">
        <v>312</v>
      </c>
      <c r="BA136" t="s">
        <v>231</v>
      </c>
      <c r="BB136" t="s">
        <v>244</v>
      </c>
      <c r="BC136" t="s">
        <v>1022</v>
      </c>
      <c r="BD136">
        <v>1</v>
      </c>
      <c r="BE136" t="s">
        <v>2003</v>
      </c>
      <c r="BF136">
        <v>10</v>
      </c>
      <c r="BG136" t="s">
        <v>1384</v>
      </c>
      <c r="BH136">
        <v>60</v>
      </c>
      <c r="BI136">
        <v>90</v>
      </c>
      <c r="BJ136" t="s">
        <v>1510</v>
      </c>
      <c r="BK136">
        <v>0</v>
      </c>
      <c r="BL136">
        <v>5</v>
      </c>
      <c r="BM136">
        <v>10</v>
      </c>
      <c r="BN136">
        <v>3</v>
      </c>
      <c r="BO136">
        <v>0</v>
      </c>
    </row>
    <row r="137" spans="1:68">
      <c r="A137" t="s">
        <v>1169</v>
      </c>
      <c r="B137" s="90">
        <v>1</v>
      </c>
      <c r="C137" t="s">
        <v>1317</v>
      </c>
      <c r="D137" t="s">
        <v>1619</v>
      </c>
      <c r="E137" s="90">
        <f>P137</f>
        <v>2</v>
      </c>
      <c r="F137" s="90">
        <v>0</v>
      </c>
      <c r="G137" s="90">
        <v>0</v>
      </c>
      <c r="H137" s="90">
        <v>0</v>
      </c>
      <c r="I137" s="90">
        <v>0</v>
      </c>
      <c r="J137" s="90">
        <v>0</v>
      </c>
      <c r="K137" s="90">
        <v>0</v>
      </c>
      <c r="L137" s="90">
        <v>0</v>
      </c>
      <c r="M137" s="90">
        <f>IF(C137="Carnivore",15,10)</f>
        <v>10</v>
      </c>
      <c r="N137" s="90">
        <v>0</v>
      </c>
      <c r="O137" s="90">
        <v>2</v>
      </c>
      <c r="P137" s="90">
        <v>2</v>
      </c>
      <c r="Q137" s="90" t="s">
        <v>2141</v>
      </c>
      <c r="R137" s="90" t="s">
        <v>2141</v>
      </c>
      <c r="S137" s="90" t="s">
        <v>2141</v>
      </c>
      <c r="T137" s="90" t="s">
        <v>2141</v>
      </c>
      <c r="U137" s="90"/>
      <c r="V137" s="90"/>
      <c r="W137" s="168" t="s">
        <v>1812</v>
      </c>
      <c r="X137" s="90" t="s">
        <v>1019</v>
      </c>
      <c r="Y137" s="90" t="s">
        <v>1977</v>
      </c>
      <c r="Z137" s="90" t="s">
        <v>1977</v>
      </c>
      <c r="AA137" s="90" t="s">
        <v>1977</v>
      </c>
      <c r="AB137" s="90" t="s">
        <v>1977</v>
      </c>
      <c r="AC137" s="90" t="s">
        <v>1977</v>
      </c>
      <c r="AD137" s="242">
        <v>6</v>
      </c>
      <c r="AE137" s="242">
        <v>8</v>
      </c>
      <c r="AF137" s="90" t="s">
        <v>1977</v>
      </c>
      <c r="AG137" s="90" t="s">
        <v>1977</v>
      </c>
      <c r="AH137" s="90" t="s">
        <v>1977</v>
      </c>
      <c r="AI137" s="90" t="s">
        <v>1977</v>
      </c>
      <c r="AJ137" s="90" t="s">
        <v>1977</v>
      </c>
      <c r="AK137" s="90" t="s">
        <v>1977</v>
      </c>
      <c r="AL137" s="90" t="s">
        <v>1977</v>
      </c>
      <c r="AM137" s="90" t="s">
        <v>1977</v>
      </c>
      <c r="AN137" s="90" t="s">
        <v>1977</v>
      </c>
      <c r="AO137" s="90" t="s">
        <v>1977</v>
      </c>
      <c r="AP137" s="90" t="s">
        <v>1977</v>
      </c>
      <c r="AQ137" s="90" t="s">
        <v>1977</v>
      </c>
      <c r="AR137" s="90" t="s">
        <v>1977</v>
      </c>
      <c r="AS137" s="90" t="s">
        <v>1977</v>
      </c>
      <c r="AT137" s="90" t="s">
        <v>1977</v>
      </c>
      <c r="AU137" s="90" t="s">
        <v>1977</v>
      </c>
      <c r="AV137" s="90" t="s">
        <v>1977</v>
      </c>
      <c r="AW137" s="90" t="s">
        <v>1977</v>
      </c>
      <c r="AX137" s="90">
        <v>5</v>
      </c>
      <c r="AY137" s="90">
        <f>IF(U137&gt;0,"Yes",0)</f>
        <v>0</v>
      </c>
      <c r="BA137"/>
    </row>
    <row r="138" spans="1:68">
      <c r="A138" t="s">
        <v>26</v>
      </c>
      <c r="B138" s="90" t="s">
        <v>310</v>
      </c>
      <c r="C138" t="s">
        <v>1317</v>
      </c>
      <c r="D138" t="s">
        <v>1619</v>
      </c>
      <c r="E138" s="90">
        <v>0</v>
      </c>
      <c r="F138" s="90">
        <v>0</v>
      </c>
      <c r="G138" s="90">
        <v>0</v>
      </c>
      <c r="H138" s="90">
        <v>0</v>
      </c>
      <c r="I138" s="90">
        <v>0</v>
      </c>
      <c r="J138" s="90">
        <v>0</v>
      </c>
      <c r="K138" s="90">
        <v>0</v>
      </c>
      <c r="L138" s="90">
        <v>0</v>
      </c>
      <c r="M138" s="90">
        <v>15</v>
      </c>
      <c r="N138" s="90">
        <v>0</v>
      </c>
      <c r="O138" s="90">
        <v>2</v>
      </c>
      <c r="P138" s="90">
        <v>1</v>
      </c>
      <c r="Q138" s="90" t="s">
        <v>1943</v>
      </c>
      <c r="R138" s="90" t="s">
        <v>1943</v>
      </c>
      <c r="S138" s="90" t="s">
        <v>1943</v>
      </c>
      <c r="T138" s="90" t="s">
        <v>1943</v>
      </c>
      <c r="U138" s="90" t="s">
        <v>1943</v>
      </c>
      <c r="V138" s="90" t="s">
        <v>1943</v>
      </c>
      <c r="W138" s="168" t="s">
        <v>18</v>
      </c>
      <c r="X138" s="90" t="s">
        <v>1019</v>
      </c>
      <c r="Y138" s="90" t="s">
        <v>1977</v>
      </c>
      <c r="Z138" s="90" t="s">
        <v>1977</v>
      </c>
      <c r="AA138" s="90" t="s">
        <v>1977</v>
      </c>
      <c r="AB138" s="90" t="s">
        <v>1977</v>
      </c>
      <c r="AC138" s="90" t="s">
        <v>1977</v>
      </c>
      <c r="AD138" s="99">
        <v>10</v>
      </c>
      <c r="AE138" s="99">
        <v>10</v>
      </c>
      <c r="AF138" s="90" t="s">
        <v>1977</v>
      </c>
      <c r="AG138" s="90" t="s">
        <v>1977</v>
      </c>
      <c r="AH138" s="90" t="s">
        <v>1977</v>
      </c>
      <c r="AI138" s="90" t="s">
        <v>1977</v>
      </c>
      <c r="AJ138" s="90" t="s">
        <v>1977</v>
      </c>
      <c r="AK138" s="90" t="s">
        <v>1977</v>
      </c>
      <c r="AL138" s="90" t="s">
        <v>1977</v>
      </c>
      <c r="AM138" s="90" t="s">
        <v>1977</v>
      </c>
      <c r="AN138" s="90" t="s">
        <v>1977</v>
      </c>
      <c r="AO138" s="90" t="s">
        <v>1977</v>
      </c>
      <c r="AP138" s="90" t="s">
        <v>1977</v>
      </c>
      <c r="AQ138" s="90" t="s">
        <v>1977</v>
      </c>
      <c r="AR138" s="90" t="s">
        <v>1977</v>
      </c>
      <c r="AS138" s="90" t="s">
        <v>1977</v>
      </c>
      <c r="AT138" s="90" t="s">
        <v>1977</v>
      </c>
      <c r="AU138" s="90" t="s">
        <v>1977</v>
      </c>
      <c r="AV138" s="90" t="s">
        <v>1977</v>
      </c>
      <c r="AW138" s="90" t="s">
        <v>1977</v>
      </c>
      <c r="AX138" s="90">
        <v>70</v>
      </c>
      <c r="AY138" s="90">
        <v>0</v>
      </c>
      <c r="AZ138" t="s">
        <v>324</v>
      </c>
      <c r="BA138" t="s">
        <v>30</v>
      </c>
      <c r="BB138" t="s">
        <v>26</v>
      </c>
      <c r="BC138" t="s">
        <v>1317</v>
      </c>
      <c r="BD138" t="s">
        <v>310</v>
      </c>
      <c r="BE138" t="s">
        <v>1619</v>
      </c>
      <c r="BF138">
        <v>2</v>
      </c>
      <c r="BG138" t="s">
        <v>330</v>
      </c>
      <c r="BH138">
        <v>100</v>
      </c>
      <c r="BI138">
        <v>70</v>
      </c>
      <c r="BJ138" t="s">
        <v>1943</v>
      </c>
      <c r="BK138">
        <v>0</v>
      </c>
      <c r="BL138">
        <v>5</v>
      </c>
      <c r="BM138">
        <v>10</v>
      </c>
      <c r="BN138">
        <v>5</v>
      </c>
      <c r="BO138">
        <v>0</v>
      </c>
    </row>
    <row r="139" spans="1:68">
      <c r="A139" t="s">
        <v>138</v>
      </c>
      <c r="B139" s="90">
        <v>1</v>
      </c>
      <c r="C139" t="s">
        <v>1022</v>
      </c>
      <c r="D139" t="s">
        <v>2003</v>
      </c>
      <c r="E139" s="90">
        <v>0</v>
      </c>
      <c r="F139" s="90">
        <v>0</v>
      </c>
      <c r="G139" s="90">
        <v>0</v>
      </c>
      <c r="H139" s="90">
        <v>0</v>
      </c>
      <c r="I139" s="90">
        <v>0</v>
      </c>
      <c r="J139" s="90">
        <v>0</v>
      </c>
      <c r="K139" s="90">
        <v>0</v>
      </c>
      <c r="L139" s="90">
        <v>0</v>
      </c>
      <c r="M139" s="90">
        <v>15</v>
      </c>
      <c r="N139" s="90">
        <v>0</v>
      </c>
      <c r="O139" s="90">
        <v>6</v>
      </c>
      <c r="P139" s="90">
        <v>-3</v>
      </c>
      <c r="Q139" s="90" t="s">
        <v>1510</v>
      </c>
      <c r="R139" s="90" t="s">
        <v>1510</v>
      </c>
      <c r="S139" s="90" t="s">
        <v>1510</v>
      </c>
      <c r="T139" s="90" t="s">
        <v>1510</v>
      </c>
      <c r="U139" s="90" t="s">
        <v>1510</v>
      </c>
      <c r="V139" s="90" t="s">
        <v>1510</v>
      </c>
      <c r="W139" s="168" t="s">
        <v>139</v>
      </c>
      <c r="X139" s="90" t="s">
        <v>1514</v>
      </c>
      <c r="Y139" s="90" t="s">
        <v>2278</v>
      </c>
      <c r="Z139" s="90" t="s">
        <v>2278</v>
      </c>
      <c r="AA139" s="90" t="s">
        <v>2278</v>
      </c>
      <c r="AB139" s="90" t="s">
        <v>2278</v>
      </c>
      <c r="AC139" s="90" t="s">
        <v>1977</v>
      </c>
      <c r="AD139" s="99">
        <v>15</v>
      </c>
      <c r="AE139" s="99">
        <v>15</v>
      </c>
      <c r="AF139" s="90" t="s">
        <v>1977</v>
      </c>
      <c r="AG139" s="90" t="s">
        <v>1977</v>
      </c>
      <c r="AH139" s="90" t="s">
        <v>1977</v>
      </c>
      <c r="AI139" s="90" t="s">
        <v>1977</v>
      </c>
      <c r="AJ139" s="90" t="s">
        <v>1977</v>
      </c>
      <c r="AK139" s="90" t="s">
        <v>1977</v>
      </c>
      <c r="AL139" s="90" t="s">
        <v>1977</v>
      </c>
      <c r="AM139" s="90" t="s">
        <v>1977</v>
      </c>
      <c r="AN139" s="90" t="s">
        <v>1977</v>
      </c>
      <c r="AO139" s="90" t="s">
        <v>1977</v>
      </c>
      <c r="AP139" s="90" t="s">
        <v>1977</v>
      </c>
      <c r="AQ139" s="90" t="s">
        <v>1977</v>
      </c>
      <c r="AR139" s="90" t="s">
        <v>1977</v>
      </c>
      <c r="AS139" s="90" t="s">
        <v>1977</v>
      </c>
      <c r="AT139" s="90" t="s">
        <v>1977</v>
      </c>
      <c r="AU139" s="90" t="s">
        <v>1977</v>
      </c>
      <c r="AV139" s="90" t="s">
        <v>1977</v>
      </c>
      <c r="AW139" s="90" t="s">
        <v>1977</v>
      </c>
      <c r="AX139" s="90">
        <v>60</v>
      </c>
      <c r="AY139" s="90">
        <v>0</v>
      </c>
      <c r="AZ139" t="s">
        <v>324</v>
      </c>
      <c r="BA139" t="s">
        <v>140</v>
      </c>
      <c r="BB139" t="s">
        <v>138</v>
      </c>
      <c r="BC139" t="s">
        <v>1022</v>
      </c>
      <c r="BD139">
        <v>1</v>
      </c>
      <c r="BE139" t="s">
        <v>2003</v>
      </c>
      <c r="BF139">
        <v>6</v>
      </c>
      <c r="BG139" t="s">
        <v>1384</v>
      </c>
      <c r="BH139">
        <v>60</v>
      </c>
      <c r="BI139">
        <v>60</v>
      </c>
      <c r="BJ139" t="s">
        <v>1510</v>
      </c>
      <c r="BK139">
        <v>0</v>
      </c>
      <c r="BL139">
        <v>3</v>
      </c>
      <c r="BM139">
        <v>6</v>
      </c>
      <c r="BN139">
        <v>2</v>
      </c>
      <c r="BO139">
        <v>-3</v>
      </c>
    </row>
    <row r="140" spans="1:68">
      <c r="A140" t="s">
        <v>267</v>
      </c>
      <c r="B140" s="90" t="s">
        <v>268</v>
      </c>
      <c r="C140" t="s">
        <v>1022</v>
      </c>
      <c r="D140" t="s">
        <v>1619</v>
      </c>
      <c r="E140" s="90">
        <v>0</v>
      </c>
      <c r="F140" s="90">
        <v>0</v>
      </c>
      <c r="G140" s="90">
        <v>0</v>
      </c>
      <c r="H140" s="90">
        <v>0</v>
      </c>
      <c r="I140" s="90">
        <v>0</v>
      </c>
      <c r="J140" s="90">
        <v>0</v>
      </c>
      <c r="K140" s="90">
        <v>0</v>
      </c>
      <c r="L140" s="90">
        <v>0</v>
      </c>
      <c r="M140" s="90">
        <v>15</v>
      </c>
      <c r="N140" s="90">
        <v>0</v>
      </c>
      <c r="O140" s="90">
        <v>5</v>
      </c>
      <c r="P140" s="90">
        <v>-3</v>
      </c>
      <c r="Q140" s="90" t="s">
        <v>322</v>
      </c>
      <c r="R140" s="90" t="s">
        <v>322</v>
      </c>
      <c r="S140" s="90" t="s">
        <v>322</v>
      </c>
      <c r="T140" s="90" t="s">
        <v>322</v>
      </c>
      <c r="U140" s="90" t="s">
        <v>322</v>
      </c>
      <c r="V140" s="90" t="s">
        <v>322</v>
      </c>
      <c r="W140" s="168" t="s">
        <v>204</v>
      </c>
      <c r="X140" s="90" t="s">
        <v>1514</v>
      </c>
      <c r="Y140" s="90" t="s">
        <v>1977</v>
      </c>
      <c r="Z140" s="90" t="s">
        <v>1977</v>
      </c>
      <c r="AA140" s="90" t="s">
        <v>1977</v>
      </c>
      <c r="AB140" s="90" t="s">
        <v>1977</v>
      </c>
      <c r="AC140" s="90" t="s">
        <v>1977</v>
      </c>
      <c r="AD140" s="99">
        <v>5</v>
      </c>
      <c r="AE140" s="99">
        <v>5</v>
      </c>
      <c r="AF140" s="90" t="s">
        <v>1977</v>
      </c>
      <c r="AG140" s="90" t="s">
        <v>1977</v>
      </c>
      <c r="AH140" s="90" t="s">
        <v>1977</v>
      </c>
      <c r="AI140" s="90" t="s">
        <v>1977</v>
      </c>
      <c r="AJ140" s="90" t="s">
        <v>1977</v>
      </c>
      <c r="AK140" s="90" t="s">
        <v>1977</v>
      </c>
      <c r="AL140" s="90" t="s">
        <v>1977</v>
      </c>
      <c r="AM140" s="90" t="s">
        <v>1977</v>
      </c>
      <c r="AN140" s="90" t="s">
        <v>1977</v>
      </c>
      <c r="AO140" s="90" t="s">
        <v>1977</v>
      </c>
      <c r="AP140" s="90" t="s">
        <v>1977</v>
      </c>
      <c r="AQ140" s="90" t="s">
        <v>1977</v>
      </c>
      <c r="AR140" s="90" t="s">
        <v>1977</v>
      </c>
      <c r="AS140" s="90" t="s">
        <v>1977</v>
      </c>
      <c r="AT140" s="90" t="s">
        <v>1977</v>
      </c>
      <c r="AU140" s="90" t="s">
        <v>1977</v>
      </c>
      <c r="AV140" s="90" t="s">
        <v>1977</v>
      </c>
      <c r="AW140" s="90" t="s">
        <v>1977</v>
      </c>
      <c r="AX140" s="90">
        <v>120</v>
      </c>
      <c r="AY140" s="90">
        <v>0</v>
      </c>
      <c r="AZ140" t="s">
        <v>324</v>
      </c>
      <c r="BA140" t="s">
        <v>266</v>
      </c>
      <c r="BB140" t="s">
        <v>267</v>
      </c>
      <c r="BC140" t="s">
        <v>1022</v>
      </c>
      <c r="BD140" t="s">
        <v>268</v>
      </c>
      <c r="BE140" t="s">
        <v>1619</v>
      </c>
      <c r="BF140">
        <v>5</v>
      </c>
      <c r="BG140" t="s">
        <v>326</v>
      </c>
      <c r="BH140">
        <v>20</v>
      </c>
      <c r="BI140">
        <v>120</v>
      </c>
      <c r="BJ140" t="s">
        <v>322</v>
      </c>
      <c r="BK140">
        <v>-3</v>
      </c>
      <c r="BL140">
        <v>2</v>
      </c>
      <c r="BM140">
        <v>4</v>
      </c>
      <c r="BN140">
        <v>1</v>
      </c>
      <c r="BO140">
        <v>-4</v>
      </c>
    </row>
    <row r="141" spans="1:68">
      <c r="A141" t="s">
        <v>346</v>
      </c>
      <c r="B141" s="90" t="s">
        <v>1000</v>
      </c>
      <c r="C141" t="s">
        <v>1022</v>
      </c>
      <c r="D141" t="s">
        <v>1109</v>
      </c>
      <c r="E141" s="90">
        <v>12</v>
      </c>
      <c r="F141" s="90">
        <v>0</v>
      </c>
      <c r="G141" s="90">
        <v>3</v>
      </c>
      <c r="H141" s="90">
        <v>0</v>
      </c>
      <c r="I141" s="90">
        <v>0</v>
      </c>
      <c r="J141" s="90">
        <v>0</v>
      </c>
      <c r="K141" s="90">
        <v>0</v>
      </c>
      <c r="L141" s="90">
        <v>0</v>
      </c>
      <c r="M141" s="90">
        <v>15</v>
      </c>
      <c r="N141" s="90">
        <v>3</v>
      </c>
      <c r="O141" s="90">
        <v>3</v>
      </c>
      <c r="P141" s="90">
        <v>4</v>
      </c>
      <c r="Q141" s="90" t="s">
        <v>322</v>
      </c>
      <c r="R141" s="90" t="s">
        <v>322</v>
      </c>
      <c r="S141" s="90" t="s">
        <v>322</v>
      </c>
      <c r="T141" s="90" t="s">
        <v>322</v>
      </c>
      <c r="U141" s="90" t="s">
        <v>322</v>
      </c>
      <c r="V141" s="90" t="s">
        <v>322</v>
      </c>
      <c r="W141" s="168" t="s">
        <v>347</v>
      </c>
      <c r="X141" s="90" t="s">
        <v>2136</v>
      </c>
      <c r="Y141" s="90" t="s">
        <v>2279</v>
      </c>
      <c r="Z141" s="90" t="s">
        <v>1977</v>
      </c>
      <c r="AA141" s="90" t="s">
        <v>1977</v>
      </c>
      <c r="AB141" s="90" t="s">
        <v>1977</v>
      </c>
      <c r="AC141" s="90" t="s">
        <v>1977</v>
      </c>
      <c r="AD141" s="99">
        <v>15</v>
      </c>
      <c r="AE141" s="99">
        <v>15</v>
      </c>
      <c r="AF141" s="90" t="s">
        <v>1977</v>
      </c>
      <c r="AG141" s="90" t="s">
        <v>1977</v>
      </c>
      <c r="AH141" s="90" t="s">
        <v>1977</v>
      </c>
      <c r="AI141" s="90" t="s">
        <v>1977</v>
      </c>
      <c r="AJ141" s="90" t="s">
        <v>1977</v>
      </c>
      <c r="AK141" s="90" t="s">
        <v>1977</v>
      </c>
      <c r="AL141" s="90" t="s">
        <v>1977</v>
      </c>
      <c r="AM141" s="90" t="s">
        <v>1977</v>
      </c>
      <c r="AN141" s="99" t="s">
        <v>1488</v>
      </c>
      <c r="AO141">
        <v>5</v>
      </c>
      <c r="AP141" s="90" t="s">
        <v>1977</v>
      </c>
      <c r="AQ141" s="90" t="s">
        <v>1977</v>
      </c>
      <c r="AR141" s="90" t="s">
        <v>1977</v>
      </c>
      <c r="AS141" s="90" t="s">
        <v>1977</v>
      </c>
      <c r="AT141" s="90" t="s">
        <v>1977</v>
      </c>
      <c r="AU141" s="90" t="s">
        <v>1977</v>
      </c>
      <c r="AV141" s="90" t="s">
        <v>1977</v>
      </c>
      <c r="AW141" s="90" t="s">
        <v>1977</v>
      </c>
      <c r="AX141" s="90">
        <v>100</v>
      </c>
      <c r="AY141" s="90">
        <v>0</v>
      </c>
      <c r="AZ141" t="s">
        <v>348</v>
      </c>
      <c r="BA141" t="s">
        <v>269</v>
      </c>
      <c r="BB141" t="s">
        <v>346</v>
      </c>
      <c r="BC141" t="s">
        <v>1022</v>
      </c>
      <c r="BD141" t="s">
        <v>1000</v>
      </c>
      <c r="BE141" t="s">
        <v>1109</v>
      </c>
      <c r="BF141">
        <v>3</v>
      </c>
      <c r="BG141" t="s">
        <v>1384</v>
      </c>
      <c r="BH141">
        <v>3200</v>
      </c>
      <c r="BI141">
        <v>100</v>
      </c>
      <c r="BJ141" t="s">
        <v>322</v>
      </c>
      <c r="BK141">
        <v>6</v>
      </c>
      <c r="BL141">
        <v>1</v>
      </c>
      <c r="BM141">
        <v>6</v>
      </c>
      <c r="BN141">
        <v>30</v>
      </c>
      <c r="BO141">
        <v>6</v>
      </c>
    </row>
    <row r="142" spans="1:68">
      <c r="A142" t="s">
        <v>261</v>
      </c>
      <c r="B142" s="90">
        <v>1</v>
      </c>
      <c r="C142" t="s">
        <v>1022</v>
      </c>
      <c r="D142" t="s">
        <v>1619</v>
      </c>
      <c r="E142" s="90">
        <v>0</v>
      </c>
      <c r="F142" s="90">
        <v>0</v>
      </c>
      <c r="G142" s="90">
        <v>0</v>
      </c>
      <c r="H142" s="90">
        <v>0</v>
      </c>
      <c r="I142" s="90">
        <v>0</v>
      </c>
      <c r="J142" s="90">
        <v>0</v>
      </c>
      <c r="K142" s="90">
        <v>0</v>
      </c>
      <c r="L142" s="90">
        <v>0</v>
      </c>
      <c r="M142" s="90">
        <v>15</v>
      </c>
      <c r="N142" s="90">
        <v>0</v>
      </c>
      <c r="O142" s="90">
        <v>5</v>
      </c>
      <c r="P142" s="90">
        <v>-5</v>
      </c>
      <c r="Q142" s="90" t="s">
        <v>322</v>
      </c>
      <c r="R142" s="90" t="s">
        <v>322</v>
      </c>
      <c r="S142" s="90" t="s">
        <v>322</v>
      </c>
      <c r="T142" s="90" t="s">
        <v>322</v>
      </c>
      <c r="U142" s="90" t="s">
        <v>322</v>
      </c>
      <c r="V142" s="90" t="s">
        <v>322</v>
      </c>
      <c r="W142" s="168" t="s">
        <v>262</v>
      </c>
      <c r="X142" s="90" t="s">
        <v>1514</v>
      </c>
      <c r="Y142" s="90" t="s">
        <v>2342</v>
      </c>
      <c r="Z142" s="90" t="s">
        <v>2342</v>
      </c>
      <c r="AA142" s="90" t="s">
        <v>1977</v>
      </c>
      <c r="AB142" s="90" t="s">
        <v>1977</v>
      </c>
      <c r="AC142" s="90" t="s">
        <v>1977</v>
      </c>
      <c r="AD142" s="99">
        <v>15</v>
      </c>
      <c r="AE142" s="99">
        <v>15</v>
      </c>
      <c r="AF142" s="90" t="s">
        <v>1977</v>
      </c>
      <c r="AG142" s="90" t="s">
        <v>1977</v>
      </c>
      <c r="AH142" s="90" t="s">
        <v>1977</v>
      </c>
      <c r="AI142" s="90" t="s">
        <v>1977</v>
      </c>
      <c r="AJ142" s="90" t="s">
        <v>1977</v>
      </c>
      <c r="AK142" s="90" t="s">
        <v>1977</v>
      </c>
      <c r="AL142" s="90" t="s">
        <v>1977</v>
      </c>
      <c r="AM142" s="90" t="s">
        <v>1977</v>
      </c>
      <c r="AN142" s="90" t="s">
        <v>1977</v>
      </c>
      <c r="AO142" s="90" t="s">
        <v>1977</v>
      </c>
      <c r="AP142" s="90" t="s">
        <v>1977</v>
      </c>
      <c r="AQ142" s="90" t="s">
        <v>1977</v>
      </c>
      <c r="AR142" s="90" t="s">
        <v>1977</v>
      </c>
      <c r="AS142" s="90" t="s">
        <v>1977</v>
      </c>
      <c r="AT142" s="90" t="s">
        <v>1977</v>
      </c>
      <c r="AU142" s="90" t="s">
        <v>1977</v>
      </c>
      <c r="AV142" s="90" t="s">
        <v>1977</v>
      </c>
      <c r="AW142" s="90" t="s">
        <v>1977</v>
      </c>
      <c r="AX142" s="90">
        <v>80</v>
      </c>
      <c r="AY142" s="90">
        <v>0</v>
      </c>
      <c r="AZ142" t="s">
        <v>324</v>
      </c>
      <c r="BA142" t="s">
        <v>260</v>
      </c>
      <c r="BB142" t="s">
        <v>261</v>
      </c>
      <c r="BC142" t="s">
        <v>1022</v>
      </c>
      <c r="BD142">
        <v>1</v>
      </c>
      <c r="BE142" t="s">
        <v>1619</v>
      </c>
      <c r="BF142">
        <v>5</v>
      </c>
      <c r="BG142" t="s">
        <v>1384</v>
      </c>
      <c r="BH142">
        <v>10</v>
      </c>
      <c r="BI142">
        <v>80</v>
      </c>
      <c r="BJ142" t="s">
        <v>322</v>
      </c>
      <c r="BK142">
        <v>-4</v>
      </c>
      <c r="BL142">
        <v>1</v>
      </c>
      <c r="BM142">
        <v>3</v>
      </c>
      <c r="BN142">
        <v>0</v>
      </c>
      <c r="BO142">
        <v>0</v>
      </c>
    </row>
    <row r="143" spans="1:68">
      <c r="A143" t="s">
        <v>213</v>
      </c>
      <c r="B143" s="90">
        <v>1</v>
      </c>
      <c r="C143" t="s">
        <v>1022</v>
      </c>
      <c r="D143" t="s">
        <v>1619</v>
      </c>
      <c r="E143" s="90">
        <v>0</v>
      </c>
      <c r="F143" s="90">
        <v>0</v>
      </c>
      <c r="G143" s="90">
        <v>0</v>
      </c>
      <c r="H143" s="90">
        <v>0</v>
      </c>
      <c r="I143" s="90">
        <v>0</v>
      </c>
      <c r="J143" s="90">
        <v>0</v>
      </c>
      <c r="K143" s="90">
        <v>0</v>
      </c>
      <c r="L143" s="90">
        <v>0</v>
      </c>
      <c r="M143" s="90">
        <v>15</v>
      </c>
      <c r="N143" s="90">
        <v>0</v>
      </c>
      <c r="O143" s="90">
        <v>1</v>
      </c>
      <c r="P143" s="90">
        <v>-3</v>
      </c>
      <c r="Q143" s="90" t="s">
        <v>322</v>
      </c>
      <c r="R143" s="90" t="s">
        <v>322</v>
      </c>
      <c r="S143" s="90" t="s">
        <v>322</v>
      </c>
      <c r="T143" s="90" t="s">
        <v>322</v>
      </c>
      <c r="U143" s="90" t="s">
        <v>322</v>
      </c>
      <c r="V143" s="90" t="s">
        <v>322</v>
      </c>
      <c r="W143" s="168" t="s">
        <v>214</v>
      </c>
      <c r="X143" s="90" t="s">
        <v>1514</v>
      </c>
      <c r="Y143" s="90" t="s">
        <v>1977</v>
      </c>
      <c r="Z143" s="90" t="s">
        <v>1977</v>
      </c>
      <c r="AA143" s="90" t="s">
        <v>1977</v>
      </c>
      <c r="AB143" s="90" t="s">
        <v>1977</v>
      </c>
      <c r="AC143" s="90" t="s">
        <v>1977</v>
      </c>
      <c r="AD143" s="242">
        <v>5</v>
      </c>
      <c r="AE143" s="242">
        <v>5</v>
      </c>
      <c r="AF143" s="90" t="s">
        <v>1977</v>
      </c>
      <c r="AG143" s="90" t="s">
        <v>1977</v>
      </c>
      <c r="AH143" s="90" t="s">
        <v>1977</v>
      </c>
      <c r="AI143" s="90" t="s">
        <v>1977</v>
      </c>
      <c r="AJ143" s="90" t="s">
        <v>1977</v>
      </c>
      <c r="AK143" s="90" t="s">
        <v>1977</v>
      </c>
      <c r="AL143" s="90" t="s">
        <v>1977</v>
      </c>
      <c r="AM143" s="90" t="s">
        <v>1977</v>
      </c>
      <c r="AN143" s="90" t="s">
        <v>1977</v>
      </c>
      <c r="AO143" s="90" t="s">
        <v>1977</v>
      </c>
      <c r="AP143" s="90" t="s">
        <v>1977</v>
      </c>
      <c r="AQ143" s="90" t="s">
        <v>1977</v>
      </c>
      <c r="AR143" s="90" t="s">
        <v>1977</v>
      </c>
      <c r="AS143" s="90" t="s">
        <v>1977</v>
      </c>
      <c r="AT143" s="90" t="s">
        <v>1977</v>
      </c>
      <c r="AU143" s="90" t="s">
        <v>1977</v>
      </c>
      <c r="AV143" s="90" t="s">
        <v>1977</v>
      </c>
      <c r="AW143" s="90" t="s">
        <v>1977</v>
      </c>
      <c r="AX143" s="90">
        <v>40</v>
      </c>
      <c r="AY143" s="90">
        <v>0</v>
      </c>
      <c r="AZ143" t="s">
        <v>324</v>
      </c>
      <c r="BA143" t="s">
        <v>210</v>
      </c>
      <c r="BB143" t="s">
        <v>213</v>
      </c>
      <c r="BC143" t="s">
        <v>1022</v>
      </c>
      <c r="BD143">
        <v>1</v>
      </c>
      <c r="BE143" t="s">
        <v>1619</v>
      </c>
      <c r="BF143">
        <v>1</v>
      </c>
      <c r="BG143" t="s">
        <v>326</v>
      </c>
      <c r="BH143">
        <v>25</v>
      </c>
      <c r="BI143">
        <v>40</v>
      </c>
      <c r="BJ143" t="s">
        <v>322</v>
      </c>
      <c r="BK143">
        <v>-3</v>
      </c>
      <c r="BL143">
        <v>1</v>
      </c>
      <c r="BM143">
        <v>4</v>
      </c>
      <c r="BN143">
        <v>1</v>
      </c>
      <c r="BO143">
        <v>-4</v>
      </c>
    </row>
    <row r="144" spans="1:68">
      <c r="A144" t="s">
        <v>162</v>
      </c>
      <c r="B144" s="90" t="s">
        <v>1000</v>
      </c>
      <c r="C144" t="s">
        <v>1022</v>
      </c>
      <c r="D144" t="s">
        <v>1098</v>
      </c>
      <c r="E144" s="90">
        <v>0</v>
      </c>
      <c r="F144" s="90">
        <v>3</v>
      </c>
      <c r="G144" s="90">
        <v>3</v>
      </c>
      <c r="H144" s="90">
        <v>2</v>
      </c>
      <c r="I144" s="90">
        <v>0</v>
      </c>
      <c r="J144" s="90">
        <v>0</v>
      </c>
      <c r="K144" s="90">
        <v>0</v>
      </c>
      <c r="L144" s="90">
        <v>0</v>
      </c>
      <c r="M144" s="90">
        <v>15</v>
      </c>
      <c r="N144" s="90">
        <v>0</v>
      </c>
      <c r="O144" s="90">
        <v>5</v>
      </c>
      <c r="P144" s="90">
        <v>3</v>
      </c>
      <c r="Q144" s="90" t="s">
        <v>1810</v>
      </c>
      <c r="R144" s="90" t="s">
        <v>1810</v>
      </c>
      <c r="S144" s="90" t="s">
        <v>1810</v>
      </c>
      <c r="T144" s="90" t="s">
        <v>1810</v>
      </c>
      <c r="U144" s="90" t="s">
        <v>1810</v>
      </c>
      <c r="V144" s="90" t="s">
        <v>1810</v>
      </c>
      <c r="W144" s="168" t="s">
        <v>163</v>
      </c>
      <c r="X144" s="90" t="s">
        <v>1514</v>
      </c>
      <c r="Y144" s="90" t="s">
        <v>1977</v>
      </c>
      <c r="Z144" s="90" t="s">
        <v>1977</v>
      </c>
      <c r="AA144" s="90" t="s">
        <v>1977</v>
      </c>
      <c r="AB144" s="90" t="s">
        <v>1977</v>
      </c>
      <c r="AC144" s="90" t="s">
        <v>1977</v>
      </c>
      <c r="AD144" s="99">
        <v>10</v>
      </c>
      <c r="AE144" s="99">
        <v>10</v>
      </c>
      <c r="AF144" s="90" t="s">
        <v>1977</v>
      </c>
      <c r="AG144" s="90" t="s">
        <v>1977</v>
      </c>
      <c r="AH144" s="90" t="s">
        <v>1977</v>
      </c>
      <c r="AI144" s="90" t="s">
        <v>1977</v>
      </c>
      <c r="AJ144" s="90" t="s">
        <v>1977</v>
      </c>
      <c r="AK144" s="90" t="s">
        <v>1977</v>
      </c>
      <c r="AL144" s="90" t="s">
        <v>1977</v>
      </c>
      <c r="AM144" s="90" t="s">
        <v>1977</v>
      </c>
      <c r="AN144" s="242" t="s">
        <v>1488</v>
      </c>
      <c r="AO144">
        <v>6</v>
      </c>
      <c r="AP144" s="90" t="s">
        <v>1977</v>
      </c>
      <c r="AQ144" s="90" t="s">
        <v>1977</v>
      </c>
      <c r="AR144" s="90" t="s">
        <v>1977</v>
      </c>
      <c r="AS144" s="90" t="s">
        <v>1977</v>
      </c>
      <c r="AT144" s="90" t="s">
        <v>1977</v>
      </c>
      <c r="AU144" s="90" t="s">
        <v>1977</v>
      </c>
      <c r="AV144" s="90" t="s">
        <v>1977</v>
      </c>
      <c r="AW144" s="90" t="s">
        <v>1977</v>
      </c>
      <c r="AX144" s="90">
        <v>80</v>
      </c>
      <c r="AY144" s="90">
        <v>0</v>
      </c>
      <c r="AZ144" t="s">
        <v>183</v>
      </c>
      <c r="BA144" t="s">
        <v>154</v>
      </c>
      <c r="BB144" t="s">
        <v>162</v>
      </c>
      <c r="BC144" t="s">
        <v>1022</v>
      </c>
      <c r="BD144" t="s">
        <v>1000</v>
      </c>
      <c r="BE144" t="s">
        <v>1098</v>
      </c>
      <c r="BF144">
        <v>5</v>
      </c>
      <c r="BG144" t="s">
        <v>330</v>
      </c>
      <c r="BH144">
        <v>500</v>
      </c>
      <c r="BI144">
        <v>80</v>
      </c>
      <c r="BJ144" t="s">
        <v>1810</v>
      </c>
      <c r="BK144">
        <v>0</v>
      </c>
      <c r="BL144">
        <v>10</v>
      </c>
      <c r="BM144">
        <v>20</v>
      </c>
      <c r="BN144">
        <v>3</v>
      </c>
      <c r="BO144">
        <v>1</v>
      </c>
    </row>
    <row r="145" spans="1:67">
      <c r="A145" t="s">
        <v>110</v>
      </c>
      <c r="B145" s="90" t="s">
        <v>111</v>
      </c>
      <c r="C145" t="s">
        <v>1317</v>
      </c>
      <c r="D145" t="s">
        <v>1619</v>
      </c>
      <c r="E145" s="90">
        <v>0</v>
      </c>
      <c r="F145" s="90">
        <v>0</v>
      </c>
      <c r="G145" s="90">
        <v>0</v>
      </c>
      <c r="H145" s="90">
        <v>0</v>
      </c>
      <c r="I145" s="90">
        <v>0</v>
      </c>
      <c r="J145" s="90">
        <v>0</v>
      </c>
      <c r="K145" s="90">
        <v>0</v>
      </c>
      <c r="L145" s="90">
        <v>0</v>
      </c>
      <c r="M145" s="90">
        <v>15</v>
      </c>
      <c r="N145" s="90">
        <v>0</v>
      </c>
      <c r="O145" s="90">
        <v>2</v>
      </c>
      <c r="P145" s="90">
        <v>4</v>
      </c>
      <c r="Q145" s="90" t="s">
        <v>1943</v>
      </c>
      <c r="R145" s="90" t="s">
        <v>1943</v>
      </c>
      <c r="S145" s="90" t="s">
        <v>1943</v>
      </c>
      <c r="T145" s="90" t="s">
        <v>1943</v>
      </c>
      <c r="U145" s="90" t="s">
        <v>1943</v>
      </c>
      <c r="V145" s="90" t="s">
        <v>1943</v>
      </c>
      <c r="W145" s="168" t="s">
        <v>107</v>
      </c>
      <c r="X145" s="90" t="s">
        <v>1224</v>
      </c>
      <c r="Y145" s="90" t="s">
        <v>1977</v>
      </c>
      <c r="Z145" s="90" t="s">
        <v>1977</v>
      </c>
      <c r="AA145" s="90" t="s">
        <v>1977</v>
      </c>
      <c r="AB145" s="90" t="s">
        <v>1977</v>
      </c>
      <c r="AC145" s="90" t="s">
        <v>1977</v>
      </c>
      <c r="AD145" s="99">
        <v>15</v>
      </c>
      <c r="AE145" s="99">
        <v>15</v>
      </c>
      <c r="AF145" s="90" t="s">
        <v>1977</v>
      </c>
      <c r="AG145" s="90" t="s">
        <v>1977</v>
      </c>
      <c r="AH145" s="90" t="s">
        <v>1977</v>
      </c>
      <c r="AI145" s="90" t="s">
        <v>1977</v>
      </c>
      <c r="AJ145" s="90" t="s">
        <v>1977</v>
      </c>
      <c r="AK145" s="90" t="s">
        <v>1977</v>
      </c>
      <c r="AL145" s="90" t="s">
        <v>1977</v>
      </c>
      <c r="AM145" s="90" t="s">
        <v>1977</v>
      </c>
      <c r="AN145" s="90" t="s">
        <v>1977</v>
      </c>
      <c r="AO145" s="90" t="s">
        <v>1977</v>
      </c>
      <c r="AP145" s="90" t="s">
        <v>1977</v>
      </c>
      <c r="AQ145" s="90" t="s">
        <v>1977</v>
      </c>
      <c r="AR145" s="90" t="s">
        <v>1977</v>
      </c>
      <c r="AS145" s="90" t="s">
        <v>1977</v>
      </c>
      <c r="AT145" s="90" t="s">
        <v>1977</v>
      </c>
      <c r="AU145" s="90" t="s">
        <v>1977</v>
      </c>
      <c r="AV145" s="90" t="s">
        <v>1977</v>
      </c>
      <c r="AW145" s="90" t="s">
        <v>1977</v>
      </c>
      <c r="AX145" s="90">
        <v>80</v>
      </c>
      <c r="AY145" s="90">
        <v>0</v>
      </c>
      <c r="AZ145" t="s">
        <v>324</v>
      </c>
      <c r="BA145" t="s">
        <v>108</v>
      </c>
      <c r="BB145" t="s">
        <v>110</v>
      </c>
      <c r="BC145" t="s">
        <v>1317</v>
      </c>
      <c r="BD145" t="s">
        <v>111</v>
      </c>
      <c r="BE145" t="s">
        <v>1619</v>
      </c>
      <c r="BF145">
        <v>2</v>
      </c>
      <c r="BG145" t="s">
        <v>1384</v>
      </c>
      <c r="BH145">
        <v>2500</v>
      </c>
      <c r="BI145">
        <v>80</v>
      </c>
      <c r="BJ145" t="s">
        <v>1943</v>
      </c>
      <c r="BK145">
        <v>-4</v>
      </c>
      <c r="BL145">
        <v>12</v>
      </c>
      <c r="BM145">
        <v>20</v>
      </c>
      <c r="BN145">
        <v>20</v>
      </c>
      <c r="BO145">
        <v>3</v>
      </c>
    </row>
    <row r="146" spans="1:67">
      <c r="A146" t="s">
        <v>297</v>
      </c>
      <c r="B146" s="90">
        <v>1</v>
      </c>
      <c r="C146" t="s">
        <v>2277</v>
      </c>
      <c r="D146" t="s">
        <v>1619</v>
      </c>
      <c r="E146" s="90">
        <v>0</v>
      </c>
      <c r="F146" s="90">
        <v>0</v>
      </c>
      <c r="G146" s="90">
        <v>0</v>
      </c>
      <c r="H146" s="90">
        <v>0</v>
      </c>
      <c r="I146" s="90">
        <v>0</v>
      </c>
      <c r="J146" s="90">
        <v>0</v>
      </c>
      <c r="K146" s="90">
        <v>0</v>
      </c>
      <c r="L146" s="90">
        <v>0</v>
      </c>
      <c r="M146" s="90">
        <v>15</v>
      </c>
      <c r="N146" s="90">
        <v>0</v>
      </c>
      <c r="O146" s="90">
        <v>0</v>
      </c>
      <c r="P146" s="90">
        <v>6</v>
      </c>
      <c r="Q146" s="90" t="s">
        <v>1943</v>
      </c>
      <c r="R146" s="90" t="s">
        <v>1943</v>
      </c>
      <c r="S146" s="90" t="s">
        <v>1943</v>
      </c>
      <c r="T146" s="90" t="s">
        <v>1943</v>
      </c>
      <c r="U146" s="90" t="s">
        <v>1943</v>
      </c>
      <c r="V146" s="90" t="s">
        <v>1943</v>
      </c>
      <c r="W146" s="168" t="s">
        <v>298</v>
      </c>
      <c r="X146" s="90" t="s">
        <v>1496</v>
      </c>
      <c r="Y146" s="90" t="s">
        <v>1977</v>
      </c>
      <c r="Z146" s="90" t="s">
        <v>1977</v>
      </c>
      <c r="AA146" s="90" t="s">
        <v>1977</v>
      </c>
      <c r="AB146" s="90" t="s">
        <v>1977</v>
      </c>
      <c r="AC146" s="90" t="s">
        <v>1977</v>
      </c>
      <c r="AD146" s="99">
        <v>5</v>
      </c>
      <c r="AE146" s="99">
        <v>5</v>
      </c>
      <c r="AF146" s="90" t="s">
        <v>1977</v>
      </c>
      <c r="AG146" s="90" t="s">
        <v>1977</v>
      </c>
      <c r="AH146" s="90" t="s">
        <v>1977</v>
      </c>
      <c r="AI146" s="90" t="s">
        <v>1977</v>
      </c>
      <c r="AJ146" s="90" t="s">
        <v>1977</v>
      </c>
      <c r="AK146" s="90" t="s">
        <v>1977</v>
      </c>
      <c r="AL146" s="90" t="s">
        <v>1977</v>
      </c>
      <c r="AM146" s="90" t="s">
        <v>1977</v>
      </c>
      <c r="AN146" s="90" t="s">
        <v>1977</v>
      </c>
      <c r="AO146" s="90" t="s">
        <v>1977</v>
      </c>
      <c r="AP146" s="90" t="s">
        <v>1977</v>
      </c>
      <c r="AQ146" s="90" t="s">
        <v>1977</v>
      </c>
      <c r="AR146" s="90" t="s">
        <v>1977</v>
      </c>
      <c r="AS146" s="90" t="s">
        <v>1977</v>
      </c>
      <c r="AT146" s="90" t="s">
        <v>1977</v>
      </c>
      <c r="AU146" s="90" t="s">
        <v>1977</v>
      </c>
      <c r="AV146" s="90" t="s">
        <v>1977</v>
      </c>
      <c r="AW146" s="90" t="s">
        <v>1977</v>
      </c>
      <c r="AX146" s="90">
        <v>0</v>
      </c>
      <c r="AY146" s="90">
        <v>0</v>
      </c>
      <c r="AZ146" t="s">
        <v>344</v>
      </c>
      <c r="BA146" t="s">
        <v>299</v>
      </c>
      <c r="BB146" t="s">
        <v>297</v>
      </c>
      <c r="BC146" t="s">
        <v>2277</v>
      </c>
      <c r="BD146">
        <v>1</v>
      </c>
      <c r="BE146" t="s">
        <v>1619</v>
      </c>
      <c r="BF146">
        <v>0</v>
      </c>
      <c r="BG146" t="s">
        <v>326</v>
      </c>
      <c r="BH146">
        <v>24000</v>
      </c>
      <c r="BI146">
        <v>0</v>
      </c>
      <c r="BJ146" t="s">
        <v>1943</v>
      </c>
      <c r="BK146">
        <v>0</v>
      </c>
      <c r="BL146">
        <v>1</v>
      </c>
      <c r="BM146">
        <v>6</v>
      </c>
      <c r="BN146">
        <v>0</v>
      </c>
      <c r="BO146">
        <v>0</v>
      </c>
    </row>
    <row r="147" spans="1:67">
      <c r="A147" t="s">
        <v>300</v>
      </c>
      <c r="B147" s="90" t="s">
        <v>1344</v>
      </c>
      <c r="C147" t="s">
        <v>1317</v>
      </c>
      <c r="D147" t="s">
        <v>1619</v>
      </c>
      <c r="E147" s="90">
        <v>0</v>
      </c>
      <c r="F147" s="90">
        <v>0</v>
      </c>
      <c r="G147" s="90">
        <v>0</v>
      </c>
      <c r="H147" s="90">
        <v>0</v>
      </c>
      <c r="I147" s="90">
        <v>0</v>
      </c>
      <c r="J147" s="90">
        <v>0</v>
      </c>
      <c r="K147" s="90">
        <v>0</v>
      </c>
      <c r="L147" s="90">
        <v>0</v>
      </c>
      <c r="M147" s="90">
        <v>15</v>
      </c>
      <c r="N147" s="90">
        <v>0</v>
      </c>
      <c r="O147" s="90">
        <v>3</v>
      </c>
      <c r="P147" s="90">
        <v>-9</v>
      </c>
      <c r="Q147" s="90" t="s">
        <v>1511</v>
      </c>
      <c r="R147" s="90" t="s">
        <v>1511</v>
      </c>
      <c r="S147" s="90" t="s">
        <v>1511</v>
      </c>
      <c r="T147" s="90" t="s">
        <v>1511</v>
      </c>
      <c r="U147" s="90" t="s">
        <v>1511</v>
      </c>
      <c r="V147" s="90" t="s">
        <v>1511</v>
      </c>
      <c r="W147" s="168" t="s">
        <v>301</v>
      </c>
      <c r="X147" s="90" t="s">
        <v>2137</v>
      </c>
      <c r="Y147" s="90" t="s">
        <v>2137</v>
      </c>
      <c r="Z147" s="90" t="s">
        <v>1977</v>
      </c>
      <c r="AA147" s="90" t="s">
        <v>1977</v>
      </c>
      <c r="AB147" s="90" t="s">
        <v>1977</v>
      </c>
      <c r="AC147" s="90" t="s">
        <v>1977</v>
      </c>
      <c r="AD147" s="99">
        <v>5</v>
      </c>
      <c r="AE147" s="99">
        <v>5</v>
      </c>
      <c r="AF147" s="90" t="s">
        <v>1977</v>
      </c>
      <c r="AG147" s="90" t="s">
        <v>1977</v>
      </c>
      <c r="AH147" s="90" t="s">
        <v>1977</v>
      </c>
      <c r="AI147" s="90" t="s">
        <v>1977</v>
      </c>
      <c r="AJ147" s="90" t="s">
        <v>1977</v>
      </c>
      <c r="AK147" s="90" t="s">
        <v>1977</v>
      </c>
      <c r="AL147" s="90" t="s">
        <v>1977</v>
      </c>
      <c r="AM147" s="90" t="s">
        <v>1977</v>
      </c>
      <c r="AN147" s="90" t="s">
        <v>1977</v>
      </c>
      <c r="AO147" s="90" t="s">
        <v>1977</v>
      </c>
      <c r="AP147" s="90" t="s">
        <v>1977</v>
      </c>
      <c r="AQ147" s="90" t="s">
        <v>1977</v>
      </c>
      <c r="AR147" s="90" t="s">
        <v>1977</v>
      </c>
      <c r="AS147" s="90" t="s">
        <v>1977</v>
      </c>
      <c r="AT147" s="90" t="s">
        <v>1977</v>
      </c>
      <c r="AU147" s="90" t="s">
        <v>1977</v>
      </c>
      <c r="AV147" s="90" t="s">
        <v>1977</v>
      </c>
      <c r="AW147" s="90" t="s">
        <v>1977</v>
      </c>
      <c r="AX147" s="90">
        <v>1</v>
      </c>
      <c r="AY147" s="90">
        <v>0</v>
      </c>
      <c r="AZ147" t="s">
        <v>344</v>
      </c>
      <c r="BA147" t="s">
        <v>302</v>
      </c>
      <c r="BB147" t="s">
        <v>300</v>
      </c>
      <c r="BC147" t="s">
        <v>1317</v>
      </c>
      <c r="BD147" t="s">
        <v>1344</v>
      </c>
      <c r="BE147" t="s">
        <v>1619</v>
      </c>
      <c r="BF147">
        <v>3</v>
      </c>
      <c r="BG147" t="s">
        <v>326</v>
      </c>
      <c r="BH147">
        <v>2</v>
      </c>
      <c r="BI147">
        <v>1</v>
      </c>
      <c r="BJ147" t="s">
        <v>1511</v>
      </c>
      <c r="BK147">
        <v>-6</v>
      </c>
      <c r="BL147">
        <v>1</v>
      </c>
      <c r="BM147">
        <v>2</v>
      </c>
      <c r="BN147">
        <v>0</v>
      </c>
      <c r="BO147">
        <v>0</v>
      </c>
    </row>
    <row r="148" spans="1:67">
      <c r="A148" t="s">
        <v>303</v>
      </c>
      <c r="B148" s="90">
        <v>1</v>
      </c>
      <c r="C148" t="s">
        <v>1022</v>
      </c>
      <c r="D148" t="s">
        <v>2003</v>
      </c>
      <c r="E148" s="90">
        <v>0</v>
      </c>
      <c r="F148" s="90">
        <v>0</v>
      </c>
      <c r="G148" s="90">
        <v>0</v>
      </c>
      <c r="H148" s="90">
        <v>0</v>
      </c>
      <c r="I148" s="90">
        <v>0</v>
      </c>
      <c r="J148" s="90">
        <v>0</v>
      </c>
      <c r="K148" s="90">
        <v>0</v>
      </c>
      <c r="L148" s="90">
        <v>0</v>
      </c>
      <c r="M148" s="90">
        <v>15</v>
      </c>
      <c r="N148" s="90">
        <v>0</v>
      </c>
      <c r="O148" s="90">
        <v>8</v>
      </c>
      <c r="P148" s="90">
        <v>6</v>
      </c>
      <c r="Q148" s="90" t="s">
        <v>1943</v>
      </c>
      <c r="R148" s="90" t="s">
        <v>1943</v>
      </c>
      <c r="S148" s="90" t="s">
        <v>1943</v>
      </c>
      <c r="T148" s="90" t="s">
        <v>1943</v>
      </c>
      <c r="U148" s="90" t="s">
        <v>1943</v>
      </c>
      <c r="V148" s="90" t="s">
        <v>1943</v>
      </c>
      <c r="W148" s="168" t="s">
        <v>304</v>
      </c>
      <c r="X148" s="90" t="s">
        <v>1514</v>
      </c>
      <c r="Y148" s="90" t="s">
        <v>2139</v>
      </c>
      <c r="Z148" s="90" t="s">
        <v>1977</v>
      </c>
      <c r="AA148" s="90" t="s">
        <v>1977</v>
      </c>
      <c r="AB148" s="90" t="s">
        <v>1977</v>
      </c>
      <c r="AC148" s="90" t="s">
        <v>1977</v>
      </c>
      <c r="AD148" s="242">
        <v>10</v>
      </c>
      <c r="AE148" s="242">
        <v>10</v>
      </c>
      <c r="AF148" s="90" t="s">
        <v>1977</v>
      </c>
      <c r="AG148" s="90" t="s">
        <v>1977</v>
      </c>
      <c r="AH148" s="90" t="s">
        <v>1977</v>
      </c>
      <c r="AI148" s="90" t="s">
        <v>1977</v>
      </c>
      <c r="AJ148" s="90" t="s">
        <v>1977</v>
      </c>
      <c r="AK148" s="90" t="s">
        <v>1977</v>
      </c>
      <c r="AL148" s="90" t="s">
        <v>1977</v>
      </c>
      <c r="AM148" s="90" t="s">
        <v>1977</v>
      </c>
      <c r="AN148" s="90" t="s">
        <v>1977</v>
      </c>
      <c r="AO148" s="90" t="s">
        <v>1977</v>
      </c>
      <c r="AP148" s="90" t="s">
        <v>1977</v>
      </c>
      <c r="AQ148" s="90" t="s">
        <v>1977</v>
      </c>
      <c r="AR148" s="90" t="s">
        <v>1977</v>
      </c>
      <c r="AS148" s="90" t="s">
        <v>1977</v>
      </c>
      <c r="AT148" s="90" t="s">
        <v>1977</v>
      </c>
      <c r="AU148" s="90" t="s">
        <v>1977</v>
      </c>
      <c r="AV148" s="90" t="s">
        <v>1977</v>
      </c>
      <c r="AW148" s="90" t="s">
        <v>1977</v>
      </c>
      <c r="AX148" s="90">
        <v>100</v>
      </c>
      <c r="AY148" s="90">
        <v>0</v>
      </c>
      <c r="AZ148" t="s">
        <v>344</v>
      </c>
      <c r="BA148" t="s">
        <v>302</v>
      </c>
      <c r="BB148" t="s">
        <v>303</v>
      </c>
      <c r="BC148" t="s">
        <v>1022</v>
      </c>
      <c r="BD148">
        <v>1</v>
      </c>
      <c r="BE148" t="s">
        <v>2003</v>
      </c>
      <c r="BF148">
        <v>8</v>
      </c>
      <c r="BG148" t="s">
        <v>330</v>
      </c>
      <c r="BH148">
        <v>24000</v>
      </c>
      <c r="BI148">
        <v>100</v>
      </c>
      <c r="BJ148" t="s">
        <v>1943</v>
      </c>
      <c r="BK148">
        <v>0</v>
      </c>
      <c r="BL148">
        <v>1</v>
      </c>
      <c r="BM148">
        <v>6</v>
      </c>
      <c r="BN148">
        <v>5</v>
      </c>
      <c r="BO148">
        <v>10</v>
      </c>
    </row>
    <row r="149" spans="1:67">
      <c r="A149" t="s">
        <v>305</v>
      </c>
      <c r="B149" s="90" t="s">
        <v>1344</v>
      </c>
      <c r="C149" t="s">
        <v>1317</v>
      </c>
      <c r="D149" t="s">
        <v>1619</v>
      </c>
      <c r="E149" s="90">
        <v>0</v>
      </c>
      <c r="F149" s="90">
        <v>0</v>
      </c>
      <c r="G149" s="90">
        <v>0</v>
      </c>
      <c r="H149" s="90">
        <v>0</v>
      </c>
      <c r="I149" s="90">
        <v>0</v>
      </c>
      <c r="J149" s="90">
        <v>0</v>
      </c>
      <c r="K149" s="90">
        <v>0</v>
      </c>
      <c r="L149" s="90">
        <v>0</v>
      </c>
      <c r="M149" s="90">
        <v>15</v>
      </c>
      <c r="N149" s="90">
        <v>0</v>
      </c>
      <c r="O149" s="90">
        <v>0</v>
      </c>
      <c r="P149" s="90">
        <v>-3</v>
      </c>
      <c r="Q149" s="90" t="s">
        <v>1510</v>
      </c>
      <c r="R149" s="90" t="s">
        <v>1510</v>
      </c>
      <c r="S149" s="90" t="s">
        <v>1510</v>
      </c>
      <c r="T149" s="90" t="s">
        <v>1510</v>
      </c>
      <c r="U149" s="90" t="s">
        <v>1510</v>
      </c>
      <c r="V149" s="90" t="s">
        <v>1510</v>
      </c>
      <c r="W149" s="168" t="s">
        <v>306</v>
      </c>
      <c r="X149" s="90" t="s">
        <v>2139</v>
      </c>
      <c r="Y149" s="90" t="s">
        <v>1977</v>
      </c>
      <c r="Z149" s="90" t="s">
        <v>1977</v>
      </c>
      <c r="AA149" s="90" t="s">
        <v>1977</v>
      </c>
      <c r="AB149" s="90" t="s">
        <v>1977</v>
      </c>
      <c r="AC149" s="90" t="s">
        <v>1977</v>
      </c>
      <c r="AD149" s="99">
        <v>10</v>
      </c>
      <c r="AE149" s="99">
        <v>10</v>
      </c>
      <c r="AF149" s="90" t="s">
        <v>1977</v>
      </c>
      <c r="AG149" s="90" t="s">
        <v>1977</v>
      </c>
      <c r="AH149" s="90" t="s">
        <v>1977</v>
      </c>
      <c r="AI149" s="90" t="s">
        <v>1977</v>
      </c>
      <c r="AJ149" s="90" t="s">
        <v>1977</v>
      </c>
      <c r="AK149" s="90" t="s">
        <v>1977</v>
      </c>
      <c r="AL149" s="90" t="s">
        <v>1977</v>
      </c>
      <c r="AM149" s="90" t="s">
        <v>1977</v>
      </c>
      <c r="AN149" s="90" t="s">
        <v>1977</v>
      </c>
      <c r="AO149" s="90" t="s">
        <v>1977</v>
      </c>
      <c r="AP149" s="90" t="s">
        <v>1977</v>
      </c>
      <c r="AQ149" s="90" t="s">
        <v>1977</v>
      </c>
      <c r="AR149" s="90" t="s">
        <v>1977</v>
      </c>
      <c r="AS149" s="90" t="s">
        <v>1977</v>
      </c>
      <c r="AT149" s="90" t="s">
        <v>1977</v>
      </c>
      <c r="AU149" s="90" t="s">
        <v>1977</v>
      </c>
      <c r="AV149" s="90" t="s">
        <v>1977</v>
      </c>
      <c r="AW149" s="90" t="s">
        <v>1977</v>
      </c>
      <c r="AX149" s="90">
        <v>0</v>
      </c>
      <c r="AY149" s="90">
        <v>0</v>
      </c>
      <c r="AZ149" t="s">
        <v>344</v>
      </c>
      <c r="BA149" t="s">
        <v>302</v>
      </c>
      <c r="BB149" t="s">
        <v>305</v>
      </c>
      <c r="BC149" t="s">
        <v>1317</v>
      </c>
      <c r="BD149" t="s">
        <v>1344</v>
      </c>
      <c r="BE149" t="s">
        <v>1619</v>
      </c>
      <c r="BF149">
        <v>0</v>
      </c>
      <c r="BG149" t="s">
        <v>330</v>
      </c>
      <c r="BH149">
        <v>20</v>
      </c>
      <c r="BI149">
        <v>0</v>
      </c>
      <c r="BJ149" t="s">
        <v>1510</v>
      </c>
      <c r="BK149">
        <v>0</v>
      </c>
      <c r="BL149">
        <v>1</v>
      </c>
      <c r="BM149">
        <v>2</v>
      </c>
      <c r="BN149">
        <v>0</v>
      </c>
      <c r="BO149">
        <v>0</v>
      </c>
    </row>
    <row r="150" spans="1:67">
      <c r="A150" t="s">
        <v>307</v>
      </c>
      <c r="B150" s="90" t="s">
        <v>1000</v>
      </c>
      <c r="C150" t="s">
        <v>1022</v>
      </c>
      <c r="D150" t="s">
        <v>1098</v>
      </c>
      <c r="E150" s="90">
        <v>0</v>
      </c>
      <c r="F150" s="90">
        <v>0</v>
      </c>
      <c r="G150" s="90">
        <v>0</v>
      </c>
      <c r="H150" s="90">
        <v>0</v>
      </c>
      <c r="I150" s="90">
        <v>0</v>
      </c>
      <c r="J150" s="90">
        <v>0</v>
      </c>
      <c r="K150" s="90">
        <v>0</v>
      </c>
      <c r="L150" s="90">
        <v>0</v>
      </c>
      <c r="M150" s="90">
        <v>15</v>
      </c>
      <c r="N150" s="90">
        <v>0</v>
      </c>
      <c r="O150" s="90">
        <v>5</v>
      </c>
      <c r="P150" s="90">
        <v>-8</v>
      </c>
      <c r="Q150" s="90" t="s">
        <v>322</v>
      </c>
      <c r="R150" s="90" t="s">
        <v>322</v>
      </c>
      <c r="S150" s="90" t="s">
        <v>322</v>
      </c>
      <c r="T150" s="90" t="s">
        <v>322</v>
      </c>
      <c r="U150" s="90" t="s">
        <v>322</v>
      </c>
      <c r="V150" s="90" t="s">
        <v>322</v>
      </c>
      <c r="W150" s="168" t="s">
        <v>308</v>
      </c>
      <c r="X150" s="90" t="s">
        <v>1514</v>
      </c>
      <c r="Y150" s="90" t="s">
        <v>2278</v>
      </c>
      <c r="Z150" s="90" t="s">
        <v>2278</v>
      </c>
      <c r="AA150" s="90" t="s">
        <v>1977</v>
      </c>
      <c r="AB150" s="90" t="s">
        <v>1977</v>
      </c>
      <c r="AC150" s="90" t="s">
        <v>1977</v>
      </c>
      <c r="AD150" s="99">
        <v>10</v>
      </c>
      <c r="AE150" s="99">
        <v>10</v>
      </c>
      <c r="AF150" s="90" t="s">
        <v>1977</v>
      </c>
      <c r="AG150" s="90" t="s">
        <v>1977</v>
      </c>
      <c r="AH150" s="90" t="s">
        <v>1977</v>
      </c>
      <c r="AI150" s="90" t="s">
        <v>1977</v>
      </c>
      <c r="AJ150" s="90" t="s">
        <v>1977</v>
      </c>
      <c r="AK150" s="90" t="s">
        <v>1977</v>
      </c>
      <c r="AL150" s="90" t="s">
        <v>1977</v>
      </c>
      <c r="AM150" s="90" t="s">
        <v>1977</v>
      </c>
      <c r="AN150" s="90" t="s">
        <v>1977</v>
      </c>
      <c r="AO150" s="90" t="s">
        <v>1977</v>
      </c>
      <c r="AP150" s="90" t="s">
        <v>1977</v>
      </c>
      <c r="AQ150" s="90" t="s">
        <v>1977</v>
      </c>
      <c r="AR150" s="90" t="s">
        <v>1977</v>
      </c>
      <c r="AS150" s="90" t="s">
        <v>1977</v>
      </c>
      <c r="AT150" s="90" t="s">
        <v>1977</v>
      </c>
      <c r="AU150" s="90" t="s">
        <v>1977</v>
      </c>
      <c r="AV150" s="90" t="s">
        <v>1977</v>
      </c>
      <c r="AW150" s="90" t="s">
        <v>1977</v>
      </c>
      <c r="AX150" s="90">
        <v>120</v>
      </c>
      <c r="AY150" s="90">
        <v>0</v>
      </c>
      <c r="AZ150" t="s">
        <v>344</v>
      </c>
      <c r="BA150" t="s">
        <v>302</v>
      </c>
      <c r="BB150" t="s">
        <v>307</v>
      </c>
      <c r="BC150" t="s">
        <v>1022</v>
      </c>
      <c r="BD150" t="s">
        <v>1000</v>
      </c>
      <c r="BE150" t="s">
        <v>1098</v>
      </c>
      <c r="BF150">
        <v>5</v>
      </c>
      <c r="BG150" t="s">
        <v>330</v>
      </c>
      <c r="BH150">
        <v>5</v>
      </c>
      <c r="BI150">
        <v>120</v>
      </c>
      <c r="BJ150" t="s">
        <v>322</v>
      </c>
      <c r="BK150">
        <v>0</v>
      </c>
      <c r="BL150">
        <v>1</v>
      </c>
      <c r="BM150">
        <v>1</v>
      </c>
      <c r="BN150">
        <v>1</v>
      </c>
      <c r="BO150">
        <v>0</v>
      </c>
    </row>
    <row r="151" spans="1:67">
      <c r="A151" t="s">
        <v>106</v>
      </c>
      <c r="B151" s="90" t="s">
        <v>1000</v>
      </c>
      <c r="C151" t="s">
        <v>1317</v>
      </c>
      <c r="D151" t="s">
        <v>1619</v>
      </c>
      <c r="E151" s="90">
        <v>0</v>
      </c>
      <c r="F151" s="90">
        <v>0</v>
      </c>
      <c r="G151" s="90">
        <v>0</v>
      </c>
      <c r="H151" s="90">
        <v>0</v>
      </c>
      <c r="I151" s="90">
        <v>0</v>
      </c>
      <c r="J151" s="90">
        <v>0</v>
      </c>
      <c r="K151" s="90">
        <v>0</v>
      </c>
      <c r="L151" s="90">
        <v>0</v>
      </c>
      <c r="M151" s="90">
        <v>15</v>
      </c>
      <c r="N151" s="90">
        <v>0</v>
      </c>
      <c r="O151" s="90">
        <v>4</v>
      </c>
      <c r="P151" s="90">
        <v>-3</v>
      </c>
      <c r="Q151" s="90" t="s">
        <v>322</v>
      </c>
      <c r="R151" s="90" t="s">
        <v>322</v>
      </c>
      <c r="S151" s="90" t="s">
        <v>322</v>
      </c>
      <c r="T151" s="90" t="s">
        <v>322</v>
      </c>
      <c r="U151" s="90" t="s">
        <v>322</v>
      </c>
      <c r="V151" s="90" t="s">
        <v>322</v>
      </c>
      <c r="W151" s="168" t="s">
        <v>99</v>
      </c>
      <c r="X151" s="90" t="s">
        <v>2136</v>
      </c>
      <c r="Y151" s="90" t="s">
        <v>1977</v>
      </c>
      <c r="Z151" s="90" t="s">
        <v>1977</v>
      </c>
      <c r="AA151" s="90" t="s">
        <v>1977</v>
      </c>
      <c r="AB151" s="90" t="s">
        <v>1977</v>
      </c>
      <c r="AC151" s="90" t="s">
        <v>1977</v>
      </c>
      <c r="AD151" s="99">
        <v>5</v>
      </c>
      <c r="AE151" s="99">
        <v>5</v>
      </c>
      <c r="AF151" s="90" t="s">
        <v>1977</v>
      </c>
      <c r="AG151" s="90" t="s">
        <v>1977</v>
      </c>
      <c r="AH151" s="90" t="s">
        <v>1977</v>
      </c>
      <c r="AI151" s="90" t="s">
        <v>1977</v>
      </c>
      <c r="AJ151" s="90" t="s">
        <v>1977</v>
      </c>
      <c r="AK151" s="90" t="s">
        <v>1977</v>
      </c>
      <c r="AL151" s="90" t="s">
        <v>1977</v>
      </c>
      <c r="AM151" s="90" t="s">
        <v>1977</v>
      </c>
      <c r="AN151" s="90" t="s">
        <v>1977</v>
      </c>
      <c r="AO151" s="90" t="s">
        <v>1977</v>
      </c>
      <c r="AP151" s="90" t="s">
        <v>1977</v>
      </c>
      <c r="AQ151" s="90" t="s">
        <v>1977</v>
      </c>
      <c r="AR151" s="90" t="s">
        <v>1977</v>
      </c>
      <c r="AS151" s="90" t="s">
        <v>1977</v>
      </c>
      <c r="AT151" s="90" t="s">
        <v>1977</v>
      </c>
      <c r="AU151" s="90" t="s">
        <v>1977</v>
      </c>
      <c r="AV151" s="90" t="s">
        <v>1977</v>
      </c>
      <c r="AW151" s="90" t="s">
        <v>1977</v>
      </c>
      <c r="AX151" s="90">
        <v>100</v>
      </c>
      <c r="AY151" s="90">
        <v>0</v>
      </c>
      <c r="AZ151" t="s">
        <v>324</v>
      </c>
      <c r="BA151" t="s">
        <v>105</v>
      </c>
      <c r="BB151" t="s">
        <v>106</v>
      </c>
      <c r="BC151" t="s">
        <v>1317</v>
      </c>
      <c r="BD151" t="s">
        <v>1000</v>
      </c>
      <c r="BE151" t="s">
        <v>1619</v>
      </c>
      <c r="BF151">
        <v>4</v>
      </c>
      <c r="BG151" t="s">
        <v>326</v>
      </c>
      <c r="BH151">
        <v>60</v>
      </c>
      <c r="BI151">
        <v>100</v>
      </c>
      <c r="BJ151" t="s">
        <v>322</v>
      </c>
      <c r="BK151">
        <v>-2</v>
      </c>
      <c r="BL151">
        <v>2</v>
      </c>
      <c r="BM151">
        <v>6</v>
      </c>
      <c r="BN151">
        <v>2</v>
      </c>
      <c r="BO151">
        <v>1</v>
      </c>
    </row>
    <row r="152" spans="1:67">
      <c r="A152" t="s">
        <v>195</v>
      </c>
      <c r="B152" s="90" t="s">
        <v>276</v>
      </c>
      <c r="C152" t="s">
        <v>1022</v>
      </c>
      <c r="D152" t="s">
        <v>1619</v>
      </c>
      <c r="E152" s="90">
        <v>0</v>
      </c>
      <c r="F152" s="90">
        <v>0</v>
      </c>
      <c r="G152" s="90">
        <v>0</v>
      </c>
      <c r="H152" s="90">
        <v>0</v>
      </c>
      <c r="I152" s="90">
        <v>0</v>
      </c>
      <c r="J152" s="90">
        <v>0</v>
      </c>
      <c r="K152" s="90">
        <v>0</v>
      </c>
      <c r="L152" s="90">
        <v>0</v>
      </c>
      <c r="M152" s="90">
        <v>15</v>
      </c>
      <c r="N152" s="90">
        <v>0</v>
      </c>
      <c r="O152" s="90">
        <v>2</v>
      </c>
      <c r="P152" s="90">
        <v>7</v>
      </c>
      <c r="Q152" s="90" t="s">
        <v>1943</v>
      </c>
      <c r="R152" s="90" t="s">
        <v>1943</v>
      </c>
      <c r="S152" s="90" t="s">
        <v>1943</v>
      </c>
      <c r="T152" s="90" t="s">
        <v>1943</v>
      </c>
      <c r="U152" s="90" t="s">
        <v>1943</v>
      </c>
      <c r="V152" s="90" t="s">
        <v>1943</v>
      </c>
      <c r="W152" s="168" t="s">
        <v>196</v>
      </c>
      <c r="X152" s="90" t="s">
        <v>2140</v>
      </c>
      <c r="Y152" s="90" t="s">
        <v>1977</v>
      </c>
      <c r="Z152" s="90" t="s">
        <v>1977</v>
      </c>
      <c r="AA152" s="90" t="s">
        <v>1977</v>
      </c>
      <c r="AB152" s="90" t="s">
        <v>1977</v>
      </c>
      <c r="AC152" s="90" t="s">
        <v>1977</v>
      </c>
      <c r="AD152" s="99">
        <v>5</v>
      </c>
      <c r="AE152" s="99">
        <v>5</v>
      </c>
      <c r="AF152" s="90" t="s">
        <v>1977</v>
      </c>
      <c r="AG152" s="90" t="s">
        <v>1977</v>
      </c>
      <c r="AH152" s="90" t="s">
        <v>1977</v>
      </c>
      <c r="AI152" s="90" t="s">
        <v>1977</v>
      </c>
      <c r="AJ152" s="90" t="s">
        <v>1977</v>
      </c>
      <c r="AK152" s="90" t="s">
        <v>1977</v>
      </c>
      <c r="AL152" s="90" t="s">
        <v>1977</v>
      </c>
      <c r="AM152" s="90" t="s">
        <v>1977</v>
      </c>
      <c r="AN152" s="90" t="s">
        <v>1977</v>
      </c>
      <c r="AO152" s="90" t="s">
        <v>1977</v>
      </c>
      <c r="AP152" s="90" t="s">
        <v>1977</v>
      </c>
      <c r="AQ152" s="90" t="s">
        <v>1977</v>
      </c>
      <c r="AR152" s="90" t="s">
        <v>1977</v>
      </c>
      <c r="AS152" s="90" t="s">
        <v>1977</v>
      </c>
      <c r="AT152" s="90" t="s">
        <v>1977</v>
      </c>
      <c r="AU152" s="90" t="s">
        <v>1977</v>
      </c>
      <c r="AV152" s="90" t="s">
        <v>1977</v>
      </c>
      <c r="AW152" s="90" t="s">
        <v>1977</v>
      </c>
      <c r="AX152" s="90">
        <v>75</v>
      </c>
      <c r="AY152" s="90">
        <v>0</v>
      </c>
      <c r="AZ152" t="s">
        <v>197</v>
      </c>
      <c r="BA152" t="s">
        <v>198</v>
      </c>
      <c r="BB152" t="s">
        <v>195</v>
      </c>
      <c r="BC152" t="s">
        <v>1022</v>
      </c>
      <c r="BD152" t="s">
        <v>276</v>
      </c>
      <c r="BE152" t="s">
        <v>1619</v>
      </c>
      <c r="BF152">
        <v>2</v>
      </c>
      <c r="BG152" t="s">
        <v>326</v>
      </c>
      <c r="BH152">
        <v>40000</v>
      </c>
      <c r="BI152">
        <v>75</v>
      </c>
      <c r="BJ152" t="s">
        <v>1943</v>
      </c>
      <c r="BK152">
        <v>5</v>
      </c>
      <c r="BL152">
        <v>20</v>
      </c>
      <c r="BM152">
        <v>40</v>
      </c>
      <c r="BN152">
        <v>10</v>
      </c>
      <c r="BO152">
        <v>5</v>
      </c>
    </row>
    <row r="153" spans="1:67">
      <c r="A153" t="s">
        <v>1824</v>
      </c>
      <c r="B153" s="90" t="s">
        <v>1825</v>
      </c>
      <c r="C153" t="s">
        <v>1022</v>
      </c>
      <c r="D153" t="s">
        <v>1109</v>
      </c>
      <c r="E153" s="90">
        <f>P153</f>
        <v>1</v>
      </c>
      <c r="F153" s="90">
        <v>0</v>
      </c>
      <c r="G153" s="90">
        <v>2</v>
      </c>
      <c r="H153" s="90">
        <v>0</v>
      </c>
      <c r="I153" s="90">
        <v>0</v>
      </c>
      <c r="J153" s="90">
        <v>0</v>
      </c>
      <c r="K153" s="90">
        <v>2</v>
      </c>
      <c r="L153" s="90">
        <v>0</v>
      </c>
      <c r="M153" s="90">
        <f>IF(C153="Carnivore",15,10)</f>
        <v>15</v>
      </c>
      <c r="N153" s="90">
        <v>2</v>
      </c>
      <c r="O153" s="90">
        <v>1</v>
      </c>
      <c r="P153" s="90">
        <v>1</v>
      </c>
      <c r="Q153" s="90" t="s">
        <v>1810</v>
      </c>
      <c r="R153" s="90" t="s">
        <v>1810</v>
      </c>
      <c r="S153" s="90" t="s">
        <v>1810</v>
      </c>
      <c r="T153" s="90" t="s">
        <v>1810</v>
      </c>
      <c r="U153" s="90"/>
      <c r="V153" s="90"/>
      <c r="W153" s="168" t="s">
        <v>2198</v>
      </c>
      <c r="X153" s="90" t="s">
        <v>1226</v>
      </c>
      <c r="Y153" s="90" t="s">
        <v>1226</v>
      </c>
      <c r="Z153" s="90" t="s">
        <v>1226</v>
      </c>
      <c r="AA153" s="90" t="s">
        <v>1226</v>
      </c>
      <c r="AB153" s="90" t="s">
        <v>1514</v>
      </c>
      <c r="AC153" s="90" t="s">
        <v>1977</v>
      </c>
      <c r="AD153" s="99">
        <v>7</v>
      </c>
      <c r="AE153" s="99">
        <v>2</v>
      </c>
      <c r="AF153" s="90" t="s">
        <v>1977</v>
      </c>
      <c r="AG153" s="90" t="s">
        <v>1977</v>
      </c>
      <c r="AH153" s="99" t="s">
        <v>1920</v>
      </c>
      <c r="AI153" s="90" t="s">
        <v>1977</v>
      </c>
      <c r="AJ153" s="90" t="s">
        <v>1977</v>
      </c>
      <c r="AK153" s="90" t="s">
        <v>1977</v>
      </c>
      <c r="AL153" s="90" t="s">
        <v>1977</v>
      </c>
      <c r="AM153" s="90" t="s">
        <v>1977</v>
      </c>
      <c r="AN153" s="242" t="s">
        <v>1846</v>
      </c>
      <c r="AO153" s="90" t="s">
        <v>1977</v>
      </c>
      <c r="AP153" s="90" t="s">
        <v>1977</v>
      </c>
      <c r="AQ153" s="90" t="s">
        <v>1977</v>
      </c>
      <c r="AR153" s="90" t="s">
        <v>1977</v>
      </c>
      <c r="AS153" s="90" t="s">
        <v>1977</v>
      </c>
      <c r="AT153" s="90" t="s">
        <v>1977</v>
      </c>
      <c r="AU153" s="90" t="s">
        <v>1977</v>
      </c>
      <c r="AV153" s="90" t="s">
        <v>1977</v>
      </c>
      <c r="AW153" s="90" t="s">
        <v>1977</v>
      </c>
      <c r="AX153" s="90">
        <v>0</v>
      </c>
      <c r="AY153" s="90">
        <f>IF(U153&gt;0,"Yes",0)</f>
        <v>0</v>
      </c>
      <c r="BA153"/>
    </row>
    <row r="154" spans="1:67">
      <c r="A154" t="s">
        <v>130</v>
      </c>
      <c r="B154" s="90">
        <v>1</v>
      </c>
      <c r="C154" t="s">
        <v>1022</v>
      </c>
      <c r="D154" t="s">
        <v>2003</v>
      </c>
      <c r="E154" s="90">
        <v>0</v>
      </c>
      <c r="F154" s="90">
        <v>0</v>
      </c>
      <c r="G154" s="90">
        <v>0</v>
      </c>
      <c r="H154" s="90">
        <v>0</v>
      </c>
      <c r="I154" s="90">
        <v>0</v>
      </c>
      <c r="J154" s="90">
        <v>0</v>
      </c>
      <c r="K154" s="90">
        <v>0</v>
      </c>
      <c r="L154" s="90">
        <v>0</v>
      </c>
      <c r="M154" s="90">
        <v>15</v>
      </c>
      <c r="N154" s="90">
        <v>0</v>
      </c>
      <c r="O154" s="90">
        <v>10</v>
      </c>
      <c r="P154" s="90">
        <v>-5</v>
      </c>
      <c r="Q154" s="90" t="s">
        <v>322</v>
      </c>
      <c r="R154" s="90" t="s">
        <v>322</v>
      </c>
      <c r="S154" s="90" t="s">
        <v>322</v>
      </c>
      <c r="T154" s="90" t="s">
        <v>322</v>
      </c>
      <c r="U154" s="90" t="s">
        <v>322</v>
      </c>
      <c r="V154" s="90" t="s">
        <v>322</v>
      </c>
      <c r="W154" s="168" t="s">
        <v>131</v>
      </c>
      <c r="X154" s="90" t="s">
        <v>1514</v>
      </c>
      <c r="Y154" s="90" t="s">
        <v>1226</v>
      </c>
      <c r="Z154" s="90" t="s">
        <v>1977</v>
      </c>
      <c r="AA154" s="90" t="s">
        <v>1977</v>
      </c>
      <c r="AB154" s="90" t="s">
        <v>1977</v>
      </c>
      <c r="AC154" s="90" t="s">
        <v>1977</v>
      </c>
      <c r="AD154" s="99">
        <v>15</v>
      </c>
      <c r="AE154" s="99">
        <v>15</v>
      </c>
      <c r="AF154" s="90" t="s">
        <v>1977</v>
      </c>
      <c r="AG154" s="90" t="s">
        <v>1977</v>
      </c>
      <c r="AH154" s="90" t="s">
        <v>1977</v>
      </c>
      <c r="AI154" s="90" t="s">
        <v>1977</v>
      </c>
      <c r="AJ154" s="90" t="s">
        <v>1977</v>
      </c>
      <c r="AK154" s="90" t="s">
        <v>1977</v>
      </c>
      <c r="AL154" s="90" t="s">
        <v>1977</v>
      </c>
      <c r="AM154" s="90" t="s">
        <v>1977</v>
      </c>
      <c r="AN154" s="90" t="s">
        <v>1977</v>
      </c>
      <c r="AO154" s="90" t="s">
        <v>1977</v>
      </c>
      <c r="AP154" s="90" t="s">
        <v>1977</v>
      </c>
      <c r="AQ154" s="90" t="s">
        <v>1977</v>
      </c>
      <c r="AR154" s="90" t="s">
        <v>1977</v>
      </c>
      <c r="AS154" s="90" t="s">
        <v>1977</v>
      </c>
      <c r="AT154" s="90" t="s">
        <v>1977</v>
      </c>
      <c r="AU154" s="90" t="s">
        <v>1977</v>
      </c>
      <c r="AV154" s="90" t="s">
        <v>1977</v>
      </c>
      <c r="AW154" s="90" t="s">
        <v>1977</v>
      </c>
      <c r="AX154" s="90">
        <v>90</v>
      </c>
      <c r="AY154" s="90">
        <v>0</v>
      </c>
      <c r="AZ154" t="s">
        <v>324</v>
      </c>
      <c r="BA154" t="s">
        <v>144</v>
      </c>
      <c r="BB154" t="s">
        <v>130</v>
      </c>
      <c r="BC154" t="s">
        <v>1022</v>
      </c>
      <c r="BD154">
        <v>1</v>
      </c>
      <c r="BE154" t="s">
        <v>2003</v>
      </c>
      <c r="BF154">
        <v>10</v>
      </c>
      <c r="BG154" t="s">
        <v>1384</v>
      </c>
      <c r="BH154">
        <v>10</v>
      </c>
      <c r="BI154">
        <v>90</v>
      </c>
      <c r="BJ154" t="s">
        <v>322</v>
      </c>
      <c r="BK154">
        <v>-4</v>
      </c>
      <c r="BL154">
        <v>1</v>
      </c>
      <c r="BM154">
        <v>3</v>
      </c>
      <c r="BN154">
        <v>1</v>
      </c>
      <c r="BO154">
        <v>0</v>
      </c>
    </row>
    <row r="155" spans="1:67">
      <c r="A155" t="s">
        <v>1933</v>
      </c>
      <c r="B155" s="90">
        <v>1</v>
      </c>
      <c r="C155" t="s">
        <v>1022</v>
      </c>
      <c r="D155" t="s">
        <v>1109</v>
      </c>
      <c r="E155" s="90">
        <f>P155</f>
        <v>7</v>
      </c>
      <c r="F155" s="90">
        <v>0</v>
      </c>
      <c r="G155" s="90">
        <v>0</v>
      </c>
      <c r="H155" s="90">
        <v>0</v>
      </c>
      <c r="I155" s="90">
        <v>0</v>
      </c>
      <c r="J155" s="90">
        <v>0</v>
      </c>
      <c r="K155" s="90">
        <v>4</v>
      </c>
      <c r="L155" s="90">
        <v>0</v>
      </c>
      <c r="M155" s="90">
        <f>IF(C155="Carnivore",15,10)</f>
        <v>15</v>
      </c>
      <c r="N155" s="90">
        <v>0</v>
      </c>
      <c r="O155" s="90">
        <v>7</v>
      </c>
      <c r="P155" s="90">
        <v>7</v>
      </c>
      <c r="Q155" s="90" t="s">
        <v>1519</v>
      </c>
      <c r="R155" s="90" t="s">
        <v>1519</v>
      </c>
      <c r="S155" s="90" t="s">
        <v>1519</v>
      </c>
      <c r="T155" s="90" t="s">
        <v>1519</v>
      </c>
      <c r="U155" s="90"/>
      <c r="V155" s="90"/>
      <c r="W155" s="168" t="s">
        <v>1991</v>
      </c>
      <c r="X155" s="90" t="s">
        <v>1514</v>
      </c>
      <c r="Y155" s="90" t="s">
        <v>1496</v>
      </c>
      <c r="Z155" s="90" t="s">
        <v>1977</v>
      </c>
      <c r="AA155" s="90" t="s">
        <v>1977</v>
      </c>
      <c r="AB155" s="90" t="s">
        <v>1977</v>
      </c>
      <c r="AC155" s="90" t="s">
        <v>1977</v>
      </c>
      <c r="AD155" s="99">
        <v>4</v>
      </c>
      <c r="AE155" s="99">
        <v>2</v>
      </c>
      <c r="AF155" s="90" t="s">
        <v>1977</v>
      </c>
      <c r="AG155" s="90" t="s">
        <v>1977</v>
      </c>
      <c r="AH155" s="90" t="s">
        <v>1977</v>
      </c>
      <c r="AI155" s="90" t="s">
        <v>1977</v>
      </c>
      <c r="AJ155" s="90" t="s">
        <v>1977</v>
      </c>
      <c r="AK155" s="90" t="s">
        <v>1977</v>
      </c>
      <c r="AL155" s="90" t="s">
        <v>1977</v>
      </c>
      <c r="AM155" s="90" t="s">
        <v>1977</v>
      </c>
      <c r="AN155" s="99" t="s">
        <v>1846</v>
      </c>
      <c r="AO155" s="90" t="s">
        <v>1977</v>
      </c>
      <c r="AP155" s="90" t="s">
        <v>1977</v>
      </c>
      <c r="AQ155" s="90" t="s">
        <v>1977</v>
      </c>
      <c r="AR155" s="90" t="s">
        <v>1977</v>
      </c>
      <c r="AS155" s="90" t="s">
        <v>1977</v>
      </c>
      <c r="AT155" s="90" t="s">
        <v>1977</v>
      </c>
      <c r="AU155" s="90" t="s">
        <v>1977</v>
      </c>
      <c r="AV155" s="90" t="s">
        <v>1977</v>
      </c>
      <c r="AW155" s="90" t="s">
        <v>1977</v>
      </c>
      <c r="AX155" s="90">
        <v>0</v>
      </c>
      <c r="AY155" s="90">
        <f>IF(U155&gt;0,"Yes",0)</f>
        <v>0</v>
      </c>
      <c r="BA155"/>
    </row>
    <row r="156" spans="1:67">
      <c r="A156" t="s">
        <v>331</v>
      </c>
      <c r="B156" s="90">
        <v>1</v>
      </c>
      <c r="C156" t="s">
        <v>1022</v>
      </c>
      <c r="D156" t="s">
        <v>1109</v>
      </c>
      <c r="E156" s="90">
        <v>0</v>
      </c>
      <c r="F156" s="90">
        <v>0</v>
      </c>
      <c r="G156" s="90">
        <v>0</v>
      </c>
      <c r="H156" s="90">
        <v>0</v>
      </c>
      <c r="I156" s="90">
        <v>0</v>
      </c>
      <c r="J156" s="90">
        <v>0</v>
      </c>
      <c r="K156" s="90">
        <v>0</v>
      </c>
      <c r="L156" s="90">
        <v>0</v>
      </c>
      <c r="M156" s="90">
        <v>15</v>
      </c>
      <c r="N156" s="90">
        <v>0</v>
      </c>
      <c r="O156" s="90">
        <v>10</v>
      </c>
      <c r="P156" s="90">
        <v>-8</v>
      </c>
      <c r="Q156" s="90" t="s">
        <v>322</v>
      </c>
      <c r="R156" s="90" t="s">
        <v>322</v>
      </c>
      <c r="S156" s="90" t="s">
        <v>322</v>
      </c>
      <c r="T156" s="90" t="s">
        <v>322</v>
      </c>
      <c r="U156" s="90" t="s">
        <v>322</v>
      </c>
      <c r="V156" s="90" t="s">
        <v>322</v>
      </c>
      <c r="W156" s="168" t="s">
        <v>332</v>
      </c>
      <c r="X156" s="90" t="s">
        <v>1514</v>
      </c>
      <c r="Y156" s="90" t="s">
        <v>1226</v>
      </c>
      <c r="Z156" s="90" t="s">
        <v>1977</v>
      </c>
      <c r="AA156" s="90" t="s">
        <v>1977</v>
      </c>
      <c r="AB156" s="90" t="s">
        <v>1977</v>
      </c>
      <c r="AC156" s="90" t="s">
        <v>1977</v>
      </c>
      <c r="AD156" s="99">
        <v>15</v>
      </c>
      <c r="AE156" s="99">
        <v>15</v>
      </c>
      <c r="AF156" s="90" t="s">
        <v>1977</v>
      </c>
      <c r="AG156" s="90" t="s">
        <v>1977</v>
      </c>
      <c r="AH156" s="90" t="s">
        <v>1977</v>
      </c>
      <c r="AI156" s="90" t="s">
        <v>1977</v>
      </c>
      <c r="AJ156" s="90" t="s">
        <v>1977</v>
      </c>
      <c r="AK156" s="90" t="s">
        <v>1977</v>
      </c>
      <c r="AL156" s="90" t="s">
        <v>1977</v>
      </c>
      <c r="AM156" s="90" t="s">
        <v>1977</v>
      </c>
      <c r="AN156" s="90" t="s">
        <v>1977</v>
      </c>
      <c r="AO156" s="90" t="s">
        <v>1977</v>
      </c>
      <c r="AP156" s="90" t="s">
        <v>1977</v>
      </c>
      <c r="AQ156" s="90" t="s">
        <v>1977</v>
      </c>
      <c r="AR156" s="90" t="s">
        <v>1977</v>
      </c>
      <c r="AS156" s="90" t="s">
        <v>1977</v>
      </c>
      <c r="AT156" s="90" t="s">
        <v>1977</v>
      </c>
      <c r="AU156" s="90" t="s">
        <v>1977</v>
      </c>
      <c r="AV156" s="90" t="s">
        <v>1977</v>
      </c>
      <c r="AW156" s="90" t="s">
        <v>1977</v>
      </c>
      <c r="AX156" s="90">
        <v>90</v>
      </c>
      <c r="AY156" s="90">
        <v>0</v>
      </c>
      <c r="AZ156" t="s">
        <v>324</v>
      </c>
      <c r="BA156" t="s">
        <v>325</v>
      </c>
      <c r="BB156" t="s">
        <v>331</v>
      </c>
      <c r="BC156" t="s">
        <v>1022</v>
      </c>
      <c r="BD156">
        <v>1</v>
      </c>
      <c r="BE156" t="s">
        <v>1109</v>
      </c>
      <c r="BF156">
        <v>10</v>
      </c>
      <c r="BG156" t="s">
        <v>1384</v>
      </c>
      <c r="BH156">
        <v>8</v>
      </c>
      <c r="BI156">
        <v>90</v>
      </c>
      <c r="BJ156" t="s">
        <v>322</v>
      </c>
      <c r="BK156">
        <v>0</v>
      </c>
      <c r="BL156">
        <v>1</v>
      </c>
      <c r="BM156">
        <v>3</v>
      </c>
      <c r="BN156">
        <v>20</v>
      </c>
      <c r="BO156" t="s">
        <v>2104</v>
      </c>
    </row>
    <row r="157" spans="1:67">
      <c r="A157" t="s">
        <v>46</v>
      </c>
      <c r="B157" s="90" t="s">
        <v>276</v>
      </c>
      <c r="C157" t="s">
        <v>1022</v>
      </c>
      <c r="D157" t="s">
        <v>1109</v>
      </c>
      <c r="E157" s="90">
        <v>0</v>
      </c>
      <c r="F157" s="90">
        <v>0</v>
      </c>
      <c r="G157" s="90">
        <v>0</v>
      </c>
      <c r="H157" s="90">
        <v>0</v>
      </c>
      <c r="I157" s="90">
        <v>0</v>
      </c>
      <c r="J157" s="90">
        <v>0</v>
      </c>
      <c r="K157" s="90">
        <v>0</v>
      </c>
      <c r="L157" s="90">
        <v>0</v>
      </c>
      <c r="M157" s="90">
        <v>15</v>
      </c>
      <c r="N157" s="90">
        <v>0</v>
      </c>
      <c r="O157" s="90">
        <v>10</v>
      </c>
      <c r="P157" s="90">
        <v>-9</v>
      </c>
      <c r="Q157" s="90" t="s">
        <v>322</v>
      </c>
      <c r="R157" s="90" t="s">
        <v>322</v>
      </c>
      <c r="S157" s="90" t="s">
        <v>322</v>
      </c>
      <c r="T157" s="90" t="s">
        <v>322</v>
      </c>
      <c r="U157" s="90" t="s">
        <v>322</v>
      </c>
      <c r="V157" s="90" t="s">
        <v>322</v>
      </c>
      <c r="W157" s="168" t="s">
        <v>47</v>
      </c>
      <c r="X157" s="90" t="s">
        <v>1514</v>
      </c>
      <c r="Y157" s="90" t="s">
        <v>2278</v>
      </c>
      <c r="Z157" s="90" t="s">
        <v>2278</v>
      </c>
      <c r="AA157" s="90" t="s">
        <v>1977</v>
      </c>
      <c r="AB157" s="90" t="s">
        <v>1977</v>
      </c>
      <c r="AC157" s="90" t="s">
        <v>1977</v>
      </c>
      <c r="AD157" s="99">
        <v>15</v>
      </c>
      <c r="AE157" s="99">
        <v>15</v>
      </c>
      <c r="AF157" s="90" t="s">
        <v>1977</v>
      </c>
      <c r="AG157" s="90" t="s">
        <v>1977</v>
      </c>
      <c r="AH157" s="90" t="s">
        <v>1977</v>
      </c>
      <c r="AI157" s="90" t="s">
        <v>1977</v>
      </c>
      <c r="AJ157" s="90" t="s">
        <v>1977</v>
      </c>
      <c r="AK157" s="90" t="s">
        <v>1977</v>
      </c>
      <c r="AL157" s="90" t="s">
        <v>1977</v>
      </c>
      <c r="AM157" s="90" t="s">
        <v>1977</v>
      </c>
      <c r="AN157" s="90" t="s">
        <v>1977</v>
      </c>
      <c r="AO157" s="90" t="s">
        <v>1977</v>
      </c>
      <c r="AP157" s="90" t="s">
        <v>1977</v>
      </c>
      <c r="AQ157" s="90" t="s">
        <v>1977</v>
      </c>
      <c r="AR157" s="90" t="s">
        <v>1977</v>
      </c>
      <c r="AS157" s="90" t="s">
        <v>1977</v>
      </c>
      <c r="AT157" s="90" t="s">
        <v>1977</v>
      </c>
      <c r="AU157" s="90" t="s">
        <v>1977</v>
      </c>
      <c r="AV157" s="90" t="s">
        <v>1977</v>
      </c>
      <c r="AW157" s="90" t="s">
        <v>1977</v>
      </c>
      <c r="AX157" s="90">
        <v>40</v>
      </c>
      <c r="AY157" s="90">
        <v>0</v>
      </c>
      <c r="AZ157" t="s">
        <v>324</v>
      </c>
      <c r="BA157" t="s">
        <v>45</v>
      </c>
      <c r="BB157" t="s">
        <v>46</v>
      </c>
      <c r="BC157" t="s">
        <v>1022</v>
      </c>
      <c r="BD157" t="s">
        <v>276</v>
      </c>
      <c r="BE157" t="s">
        <v>1109</v>
      </c>
      <c r="BF157">
        <v>10</v>
      </c>
      <c r="BG157" t="s">
        <v>1384</v>
      </c>
      <c r="BH157">
        <v>2</v>
      </c>
      <c r="BI157">
        <v>40</v>
      </c>
      <c r="BJ157" t="s">
        <v>322</v>
      </c>
      <c r="BK157">
        <v>-4</v>
      </c>
      <c r="BL157">
        <v>1</v>
      </c>
      <c r="BM157">
        <v>2</v>
      </c>
      <c r="BN157">
        <v>1</v>
      </c>
      <c r="BO157">
        <v>0</v>
      </c>
    </row>
    <row r="158" spans="1:67">
      <c r="A158" t="s">
        <v>1266</v>
      </c>
      <c r="B158" s="90" t="s">
        <v>1348</v>
      </c>
      <c r="C158" t="s">
        <v>1022</v>
      </c>
      <c r="D158" t="s">
        <v>1098</v>
      </c>
      <c r="E158" s="90">
        <f>P158</f>
        <v>-1</v>
      </c>
      <c r="F158" s="90">
        <v>0</v>
      </c>
      <c r="G158" s="90">
        <v>0</v>
      </c>
      <c r="H158" s="90">
        <v>4</v>
      </c>
      <c r="I158" s="90">
        <v>0</v>
      </c>
      <c r="J158" s="90">
        <v>0</v>
      </c>
      <c r="K158" s="90">
        <v>0</v>
      </c>
      <c r="L158" s="90">
        <v>0</v>
      </c>
      <c r="M158" s="90">
        <f>IF(C158="Carnivore",15,10)</f>
        <v>15</v>
      </c>
      <c r="N158" s="90">
        <v>0</v>
      </c>
      <c r="O158" s="90">
        <v>-1</v>
      </c>
      <c r="P158" s="90">
        <v>-1</v>
      </c>
      <c r="Q158" s="90" t="s">
        <v>1943</v>
      </c>
      <c r="R158" s="90" t="s">
        <v>1943</v>
      </c>
      <c r="S158" s="90" t="s">
        <v>1943</v>
      </c>
      <c r="T158" s="90" t="s">
        <v>1943</v>
      </c>
      <c r="U158" s="90"/>
      <c r="V158" s="90"/>
      <c r="W158" s="90" t="s">
        <v>1812</v>
      </c>
      <c r="X158" s="90" t="s">
        <v>1514</v>
      </c>
      <c r="Y158" s="90" t="s">
        <v>1977</v>
      </c>
      <c r="Z158" s="90" t="s">
        <v>1977</v>
      </c>
      <c r="AA158" s="90" t="s">
        <v>1977</v>
      </c>
      <c r="AB158" s="90" t="s">
        <v>1977</v>
      </c>
      <c r="AC158" s="90" t="s">
        <v>1977</v>
      </c>
      <c r="AD158" s="99">
        <v>7</v>
      </c>
      <c r="AE158" s="99">
        <v>8</v>
      </c>
      <c r="AF158" s="90" t="s">
        <v>1977</v>
      </c>
      <c r="AG158" s="90" t="s">
        <v>1977</v>
      </c>
      <c r="AH158" s="90" t="s">
        <v>1977</v>
      </c>
      <c r="AI158" s="90" t="s">
        <v>1977</v>
      </c>
      <c r="AJ158" s="90" t="s">
        <v>1977</v>
      </c>
      <c r="AK158" s="90" t="s">
        <v>1977</v>
      </c>
      <c r="AL158" s="90" t="s">
        <v>1977</v>
      </c>
      <c r="AM158" s="90" t="s">
        <v>1977</v>
      </c>
      <c r="AN158" s="90" t="s">
        <v>1977</v>
      </c>
      <c r="AO158" s="90" t="s">
        <v>1977</v>
      </c>
      <c r="AP158" s="90" t="s">
        <v>1977</v>
      </c>
      <c r="AQ158" s="90" t="s">
        <v>1977</v>
      </c>
      <c r="AR158" s="90" t="s">
        <v>1977</v>
      </c>
      <c r="AS158" s="90" t="s">
        <v>1977</v>
      </c>
      <c r="AT158" s="90" t="s">
        <v>1977</v>
      </c>
      <c r="AU158" s="90" t="s">
        <v>1977</v>
      </c>
      <c r="AV158" s="90" t="s">
        <v>1977</v>
      </c>
      <c r="AW158" s="90" t="s">
        <v>1977</v>
      </c>
      <c r="AX158" s="90">
        <v>5</v>
      </c>
      <c r="AY158" s="90">
        <f>IF(U158&gt;0,"Yes",0)</f>
        <v>0</v>
      </c>
      <c r="BA158"/>
    </row>
    <row r="159" spans="1:67">
      <c r="A159" t="s">
        <v>103</v>
      </c>
      <c r="B159" s="90" t="s">
        <v>1344</v>
      </c>
      <c r="C159" t="s">
        <v>1022</v>
      </c>
      <c r="D159" t="s">
        <v>2003</v>
      </c>
      <c r="E159" s="90">
        <v>0</v>
      </c>
      <c r="F159" s="90">
        <v>0</v>
      </c>
      <c r="G159" s="90">
        <v>0</v>
      </c>
      <c r="H159" s="90">
        <v>0</v>
      </c>
      <c r="I159" s="90">
        <v>0</v>
      </c>
      <c r="J159" s="90">
        <v>0</v>
      </c>
      <c r="K159" s="90">
        <v>0</v>
      </c>
      <c r="L159" s="90">
        <v>0</v>
      </c>
      <c r="M159" s="90">
        <v>15</v>
      </c>
      <c r="N159" s="90">
        <v>0</v>
      </c>
      <c r="O159" s="90">
        <v>7</v>
      </c>
      <c r="P159" s="90">
        <v>-10</v>
      </c>
      <c r="Q159" s="90" t="s">
        <v>1511</v>
      </c>
      <c r="R159" s="90" t="s">
        <v>1511</v>
      </c>
      <c r="S159" s="90" t="s">
        <v>1511</v>
      </c>
      <c r="T159" s="90" t="s">
        <v>1511</v>
      </c>
      <c r="U159" s="90" t="s">
        <v>1511</v>
      </c>
      <c r="V159" s="90" t="s">
        <v>1511</v>
      </c>
      <c r="W159" s="168" t="s">
        <v>98</v>
      </c>
      <c r="X159" s="90" t="s">
        <v>1514</v>
      </c>
      <c r="Y159" s="90" t="s">
        <v>1977</v>
      </c>
      <c r="Z159" s="90" t="s">
        <v>1977</v>
      </c>
      <c r="AA159" s="90" t="s">
        <v>1977</v>
      </c>
      <c r="AB159" s="90" t="s">
        <v>1977</v>
      </c>
      <c r="AC159" s="90" t="s">
        <v>1977</v>
      </c>
      <c r="AD159" s="99">
        <v>10</v>
      </c>
      <c r="AE159" s="99">
        <v>10</v>
      </c>
      <c r="AF159" s="90" t="s">
        <v>1977</v>
      </c>
      <c r="AG159" s="90" t="s">
        <v>1977</v>
      </c>
      <c r="AH159" s="99" t="s">
        <v>2368</v>
      </c>
      <c r="AI159" s="90" t="s">
        <v>1977</v>
      </c>
      <c r="AJ159" s="90" t="s">
        <v>1977</v>
      </c>
      <c r="AK159" s="90" t="s">
        <v>1977</v>
      </c>
      <c r="AL159" s="90" t="s">
        <v>1977</v>
      </c>
      <c r="AM159" s="90" t="s">
        <v>1977</v>
      </c>
      <c r="AN159" s="90" t="s">
        <v>1977</v>
      </c>
      <c r="AO159" s="90" t="s">
        <v>1977</v>
      </c>
      <c r="AP159" s="90" t="s">
        <v>1977</v>
      </c>
      <c r="AQ159" s="90" t="s">
        <v>1977</v>
      </c>
      <c r="AR159" s="90" t="s">
        <v>1977</v>
      </c>
      <c r="AS159" s="90" t="s">
        <v>1977</v>
      </c>
      <c r="AT159" s="90" t="s">
        <v>1977</v>
      </c>
      <c r="AU159" s="90" t="s">
        <v>1977</v>
      </c>
      <c r="AV159" s="90" t="s">
        <v>1977</v>
      </c>
      <c r="AW159" s="90" t="s">
        <v>1977</v>
      </c>
      <c r="AX159" s="90">
        <v>60</v>
      </c>
      <c r="AY159" s="90">
        <v>0</v>
      </c>
      <c r="AZ159" t="s">
        <v>324</v>
      </c>
      <c r="BA159" t="s">
        <v>2597</v>
      </c>
      <c r="BB159" t="s">
        <v>103</v>
      </c>
      <c r="BC159" t="s">
        <v>1022</v>
      </c>
      <c r="BD159" t="s">
        <v>1344</v>
      </c>
      <c r="BE159" t="s">
        <v>2003</v>
      </c>
      <c r="BF159">
        <v>7</v>
      </c>
      <c r="BG159" t="s">
        <v>330</v>
      </c>
      <c r="BH159">
        <v>0.1</v>
      </c>
      <c r="BI159">
        <v>60</v>
      </c>
      <c r="BJ159" t="s">
        <v>1511</v>
      </c>
      <c r="BK159">
        <v>-5</v>
      </c>
      <c r="BL159">
        <v>1</v>
      </c>
      <c r="BM159">
        <v>1</v>
      </c>
      <c r="BN159">
        <v>2</v>
      </c>
      <c r="BO159">
        <v>-5</v>
      </c>
    </row>
    <row r="160" spans="1:67">
      <c r="AP160" s="99" t="s">
        <v>1977</v>
      </c>
      <c r="AQ160" t="s">
        <v>1977</v>
      </c>
      <c r="AR160" t="s">
        <v>1977</v>
      </c>
      <c r="AS160" t="s">
        <v>1977</v>
      </c>
      <c r="AT160" t="s">
        <v>1977</v>
      </c>
      <c r="AU160" t="s">
        <v>1977</v>
      </c>
      <c r="AV160" t="s">
        <v>1977</v>
      </c>
      <c r="AW160" t="s">
        <v>1977</v>
      </c>
      <c r="AX160" t="s">
        <v>1977</v>
      </c>
    </row>
    <row r="161" spans="1:39">
      <c r="AF161" s="9"/>
    </row>
    <row r="162" spans="1:39">
      <c r="A162" t="s">
        <v>675</v>
      </c>
      <c r="B162" s="168" t="s">
        <v>2295</v>
      </c>
      <c r="C162" t="s">
        <v>1107</v>
      </c>
      <c r="D162" t="s">
        <v>1875</v>
      </c>
      <c r="E162" t="s">
        <v>2288</v>
      </c>
      <c r="F162" t="s">
        <v>2296</v>
      </c>
      <c r="G162" t="s">
        <v>2297</v>
      </c>
      <c r="H162" s="168"/>
      <c r="U162" s="89"/>
      <c r="V162" s="89"/>
      <c r="W162" s="141"/>
      <c r="X162" s="141"/>
      <c r="Y162" s="139"/>
      <c r="AF162" s="9"/>
    </row>
    <row r="163" spans="1:39">
      <c r="A163" t="s">
        <v>1098</v>
      </c>
      <c r="B163" s="100" t="s">
        <v>1140</v>
      </c>
      <c r="C163" s="100" t="s">
        <v>2413</v>
      </c>
      <c r="D163" s="100" t="s">
        <v>2414</v>
      </c>
      <c r="E163" s="90">
        <v>17</v>
      </c>
      <c r="F163" s="100" t="s">
        <v>959</v>
      </c>
      <c r="G163" s="90">
        <v>20</v>
      </c>
      <c r="H163" s="100"/>
      <c r="I163" s="100"/>
      <c r="J163" s="90"/>
      <c r="K163" s="100"/>
      <c r="L163" s="90"/>
      <c r="M163" s="100"/>
      <c r="U163" s="7"/>
      <c r="V163" s="7"/>
      <c r="W163" s="6"/>
      <c r="X163" s="6"/>
      <c r="Y163" s="98"/>
      <c r="AF163" s="9"/>
    </row>
    <row r="164" spans="1:39">
      <c r="A164" t="s">
        <v>2003</v>
      </c>
      <c r="B164" s="100" t="s">
        <v>960</v>
      </c>
      <c r="C164" s="100" t="s">
        <v>2043</v>
      </c>
      <c r="D164" s="100" t="s">
        <v>2458</v>
      </c>
      <c r="E164" s="100" t="s">
        <v>961</v>
      </c>
      <c r="F164" s="90">
        <v>18</v>
      </c>
      <c r="G164" s="100" t="s">
        <v>962</v>
      </c>
      <c r="H164" s="100"/>
      <c r="I164" s="90"/>
      <c r="J164" s="100"/>
      <c r="K164" s="90"/>
      <c r="L164" s="90"/>
      <c r="M164" s="90"/>
      <c r="U164" s="7"/>
      <c r="V164" s="7"/>
      <c r="W164" s="138"/>
      <c r="X164" s="139"/>
      <c r="Y164" s="140"/>
      <c r="AF164" s="9"/>
      <c r="AK164" s="99"/>
    </row>
    <row r="165" spans="1:39">
      <c r="A165" t="s">
        <v>1109</v>
      </c>
      <c r="B165" s="100" t="s">
        <v>1204</v>
      </c>
      <c r="C165" s="100" t="s">
        <v>1205</v>
      </c>
      <c r="D165" s="100" t="s">
        <v>979</v>
      </c>
      <c r="E165" s="90"/>
      <c r="F165" s="90">
        <v>19</v>
      </c>
      <c r="G165" s="90">
        <v>20</v>
      </c>
      <c r="H165" s="100"/>
      <c r="J165" s="90"/>
      <c r="K165" s="90"/>
      <c r="L165" s="100"/>
      <c r="M165" s="90"/>
      <c r="U165" s="7"/>
      <c r="V165" s="7"/>
      <c r="W165" s="141"/>
      <c r="X165" s="139"/>
      <c r="Y165" s="140"/>
      <c r="AF165" s="9"/>
      <c r="AK165" s="99"/>
    </row>
    <row r="166" spans="1:39">
      <c r="A166" t="s">
        <v>1619</v>
      </c>
      <c r="C166" s="90"/>
      <c r="D166" s="90">
        <v>1</v>
      </c>
      <c r="E166" s="100" t="s">
        <v>2415</v>
      </c>
      <c r="F166" s="100" t="s">
        <v>980</v>
      </c>
      <c r="G166" s="100" t="s">
        <v>1102</v>
      </c>
      <c r="H166" s="90"/>
      <c r="J166" s="90"/>
      <c r="K166" s="100"/>
      <c r="L166" s="100"/>
      <c r="M166" s="100"/>
      <c r="U166" s="89"/>
      <c r="V166" s="89"/>
      <c r="W166" s="141"/>
      <c r="X166" s="141"/>
      <c r="Y166" s="139"/>
      <c r="AK166" s="99"/>
    </row>
    <row r="167" spans="1:39">
      <c r="C167" s="100"/>
      <c r="D167" s="90"/>
      <c r="E167" s="100"/>
      <c r="J167" s="90"/>
      <c r="K167" s="100"/>
      <c r="L167" s="90"/>
      <c r="M167" s="100"/>
      <c r="U167" s="7"/>
      <c r="V167" s="7"/>
      <c r="W167" s="138"/>
      <c r="X167" s="139"/>
      <c r="Y167" s="140"/>
      <c r="AK167" s="99"/>
    </row>
    <row r="168" spans="1:39">
      <c r="B168" s="168"/>
      <c r="U168" s="7"/>
      <c r="V168" s="7"/>
      <c r="W168" s="141"/>
      <c r="X168" s="139"/>
      <c r="Y168" s="139"/>
      <c r="AK168" s="99"/>
    </row>
    <row r="169" spans="1:39">
      <c r="B169" s="100"/>
      <c r="C169" s="100"/>
      <c r="D169" s="90"/>
      <c r="E169" s="90"/>
      <c r="F169" s="100"/>
      <c r="G169" s="90"/>
      <c r="I169" s="168"/>
      <c r="J169" s="100"/>
      <c r="K169" s="100"/>
      <c r="L169" s="100"/>
      <c r="M169" s="90"/>
      <c r="U169" s="7"/>
      <c r="V169" s="7"/>
      <c r="W169" s="138"/>
      <c r="X169" s="139"/>
      <c r="Y169" s="140"/>
      <c r="AK169" s="99"/>
    </row>
    <row r="170" spans="1:39">
      <c r="B170" s="100"/>
      <c r="C170" s="100"/>
      <c r="D170" s="90"/>
      <c r="E170" s="100"/>
      <c r="F170" s="90"/>
      <c r="G170" s="100"/>
      <c r="J170" s="100"/>
      <c r="K170" s="90"/>
      <c r="L170" s="100"/>
      <c r="M170" s="90"/>
      <c r="U170" s="7"/>
      <c r="V170" s="7"/>
      <c r="W170" s="141"/>
      <c r="X170" s="141"/>
      <c r="Y170" s="139"/>
      <c r="AK170" s="99"/>
    </row>
    <row r="171" spans="1:39">
      <c r="B171" s="100"/>
      <c r="C171" s="90"/>
      <c r="D171" s="100"/>
      <c r="E171" s="90"/>
      <c r="F171" s="90"/>
      <c r="G171" s="90"/>
      <c r="J171" s="90"/>
      <c r="K171" s="100"/>
      <c r="L171" s="90"/>
      <c r="M171" s="90"/>
      <c r="U171" s="7"/>
      <c r="V171" s="7"/>
      <c r="W171" s="141"/>
      <c r="X171" s="141"/>
      <c r="Y171" s="139"/>
      <c r="AK171" s="99"/>
    </row>
    <row r="172" spans="1:39">
      <c r="C172" s="90"/>
      <c r="D172" s="90"/>
      <c r="E172" s="100"/>
      <c r="F172" s="100"/>
      <c r="G172" s="100"/>
      <c r="J172" s="100"/>
      <c r="K172" s="90"/>
      <c r="L172" s="90"/>
      <c r="M172" s="100"/>
      <c r="U172" s="7"/>
      <c r="V172" s="7"/>
      <c r="W172" s="138"/>
      <c r="X172" s="139"/>
      <c r="Y172" s="140"/>
      <c r="AK172" s="99"/>
    </row>
    <row r="173" spans="1:39">
      <c r="J173" s="90"/>
      <c r="K173" s="90"/>
      <c r="L173" s="100"/>
      <c r="M173" s="100"/>
    </row>
    <row r="174" spans="1:39">
      <c r="B174"/>
      <c r="K174" s="100"/>
      <c r="L174" s="90"/>
      <c r="M174" s="90"/>
      <c r="N174" s="100"/>
    </row>
    <row r="175" spans="1:39">
      <c r="A175" s="168"/>
      <c r="B175" s="100"/>
      <c r="C175" s="100"/>
      <c r="D175" s="100"/>
      <c r="E175" s="90"/>
      <c r="AL175" s="99"/>
      <c r="AM175" s="242"/>
    </row>
    <row r="176" spans="1:39">
      <c r="B176" s="100"/>
      <c r="C176" s="100"/>
      <c r="D176" s="90"/>
      <c r="E176" s="90"/>
    </row>
    <row r="177" spans="2:39">
      <c r="C177" s="90"/>
      <c r="D177" s="100"/>
      <c r="E177" s="90"/>
      <c r="AL177" s="99"/>
      <c r="AM177" s="242"/>
    </row>
    <row r="178" spans="2:39">
      <c r="C178" s="100"/>
      <c r="D178" s="90"/>
      <c r="E178" s="100"/>
    </row>
    <row r="179" spans="2:39">
      <c r="B179" s="100"/>
      <c r="C179" s="90"/>
      <c r="D179" s="90"/>
      <c r="E179" s="100"/>
    </row>
    <row r="180" spans="2:39">
      <c r="C180" s="100"/>
      <c r="D180" s="90"/>
      <c r="E180" s="100"/>
    </row>
  </sheetData>
  <sheetCalcPr fullCalcOnLoad="1"/>
  <sortState ref="A1:BP160">
    <sortCondition ref="A2:A160"/>
  </sortState>
  <phoneticPr fontId="0" type="noConversion"/>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16</vt:i4>
      </vt:variant>
    </vt:vector>
  </HeadingPairs>
  <TitlesOfParts>
    <vt:vector size="16" baseType="lpstr">
      <vt:lpstr>CritterSheet</vt:lpstr>
      <vt:lpstr>CritterSheetBack</vt:lpstr>
      <vt:lpstr>Stat Bonuses</vt:lpstr>
      <vt:lpstr>Skills</vt:lpstr>
      <vt:lpstr>Armor</vt:lpstr>
      <vt:lpstr>Melee</vt:lpstr>
      <vt:lpstr>Distance</vt:lpstr>
      <vt:lpstr>SpecialAttacks</vt:lpstr>
      <vt:lpstr>Critters</vt:lpstr>
      <vt:lpstr>2300Critters</vt:lpstr>
      <vt:lpstr>Jorune</vt:lpstr>
      <vt:lpstr>D&amp;D Critters</vt:lpstr>
      <vt:lpstr>EDCritters</vt:lpstr>
      <vt:lpstr>SRCritters</vt:lpstr>
      <vt:lpstr>FrontEcho</vt:lpstr>
      <vt:lpstr>BackEcho</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Lenox</dc:creator>
  <cp:lastModifiedBy>William Lenox</cp:lastModifiedBy>
  <cp:lastPrinted>2009-08-28T21:14:35Z</cp:lastPrinted>
  <dcterms:created xsi:type="dcterms:W3CDTF">2002-04-02T03:07:14Z</dcterms:created>
  <dcterms:modified xsi:type="dcterms:W3CDTF">2020-01-22T21:56:26Z</dcterms:modified>
</cp:coreProperties>
</file>