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Default Extension="vml" ContentType="application/vnd.openxmlformats-officedocument.vmlDrawing"/>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60" yWindow="-20" windowWidth="19620" windowHeight="16520"/>
  </bookViews>
  <sheets>
    <sheet name="CharSheetFront" sheetId="1" r:id="rId1"/>
    <sheet name="CharSheetBack" sheetId="2" r:id="rId2"/>
    <sheet name="Species" sheetId="3" r:id="rId3"/>
    <sheet name="Stat Bonuses" sheetId="4" r:id="rId4"/>
    <sheet name="Skills" sheetId="5" r:id="rId5"/>
    <sheet name="Adv-Disadv" sheetId="12" r:id="rId6"/>
    <sheet name="Armor" sheetId="6" r:id="rId7"/>
    <sheet name="Melee" sheetId="8" r:id="rId8"/>
    <sheet name="Distance" sheetId="7" r:id="rId9"/>
    <sheet name="Firearms" sheetId="9" r:id="rId10"/>
    <sheet name="FrontEcho" sheetId="10" r:id="rId11"/>
    <sheet name="BackEcho" sheetId="11" r:id="rId12"/>
  </sheets>
  <definedNames>
    <definedName name="_xlnm._FilterDatabase" localSheetId="4" hidden="1">Skills!$A$1:$C$473</definedName>
    <definedName name="_Print_Area" localSheetId="1">CharSheetBack!$A$1:$O$51</definedName>
    <definedName name="_Print_Area" localSheetId="0">CharSheetFront!$A$1:$N$51</definedName>
    <definedName name="Page1">CharSheetFront!$A$1:$G$51</definedName>
    <definedName name="Page2">CharSheetFront!$H$1:$N$51</definedName>
    <definedName name="Page3">CharSheetBack!$A$1:$H$51</definedName>
    <definedName name="Page4">CharSheetBack!$I$1:$O$51</definedName>
    <definedName name="_xlnm.Print_Area" localSheetId="1">CharSheetBack!$A$1:$O$51</definedName>
    <definedName name="_xlnm.Print_Area" localSheetId="0">CharSheetFront!$A$1:$N$51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60" i="6"/>
  <c r="D23"/>
  <c r="D22"/>
  <c r="D37"/>
  <c r="D33"/>
  <c r="D24"/>
  <c r="D38"/>
  <c r="D34"/>
  <c r="D15"/>
  <c r="D45"/>
  <c r="D51"/>
  <c r="D19"/>
  <c r="D36"/>
  <c r="D30"/>
  <c r="D35"/>
  <c r="D62"/>
  <c r="D5"/>
  <c r="D4"/>
  <c r="D3"/>
  <c r="D28"/>
  <c r="D25"/>
  <c r="D6"/>
  <c r="D13"/>
  <c r="D12"/>
  <c r="C48"/>
  <c r="D48"/>
  <c r="C47"/>
  <c r="D47"/>
  <c r="C46"/>
  <c r="D46"/>
  <c r="C11"/>
  <c r="D11"/>
  <c r="C10"/>
  <c r="D10"/>
  <c r="C9"/>
  <c r="D9"/>
  <c r="C55"/>
  <c r="D55"/>
  <c r="C54"/>
  <c r="D54"/>
  <c r="C53"/>
  <c r="D53"/>
  <c r="C59"/>
  <c r="D59"/>
  <c r="C58"/>
  <c r="D58"/>
  <c r="C44"/>
  <c r="D44"/>
  <c r="C43"/>
  <c r="D43"/>
  <c r="C41"/>
  <c r="D41"/>
  <c r="C40"/>
  <c r="D40"/>
  <c r="C32"/>
  <c r="D32"/>
  <c r="C31"/>
  <c r="D31"/>
  <c r="C29"/>
  <c r="D29"/>
  <c r="C21"/>
  <c r="D21"/>
  <c r="C20"/>
  <c r="D20"/>
  <c r="C18"/>
  <c r="D18"/>
  <c r="C17"/>
  <c r="D17"/>
  <c r="C16"/>
  <c r="D16"/>
  <c r="O30" i="11"/>
  <c r="N30"/>
  <c r="M30"/>
  <c r="L30"/>
  <c r="O29"/>
  <c r="N29"/>
  <c r="M29"/>
  <c r="L29"/>
  <c r="O28"/>
  <c r="N28"/>
  <c r="M28"/>
  <c r="L28"/>
  <c r="O27"/>
  <c r="N27"/>
  <c r="M27"/>
  <c r="L27"/>
  <c r="O26"/>
  <c r="N26"/>
  <c r="M26"/>
  <c r="L26"/>
  <c r="O25"/>
  <c r="N25"/>
  <c r="M25"/>
  <c r="L25"/>
  <c r="O24"/>
  <c r="N24"/>
  <c r="M24"/>
  <c r="L24"/>
  <c r="O23"/>
  <c r="N23"/>
  <c r="M23"/>
  <c r="L23"/>
  <c r="O22"/>
  <c r="N22"/>
  <c r="M22"/>
  <c r="L22"/>
  <c r="O21"/>
  <c r="N21"/>
  <c r="M21"/>
  <c r="L21"/>
  <c r="O20"/>
  <c r="N20"/>
  <c r="M20"/>
  <c r="L20"/>
  <c r="O19"/>
  <c r="N19"/>
  <c r="M19"/>
  <c r="L19"/>
  <c r="O18"/>
  <c r="N18"/>
  <c r="M18"/>
  <c r="L18"/>
  <c r="O17"/>
  <c r="N17"/>
  <c r="M17"/>
  <c r="L17"/>
  <c r="O16"/>
  <c r="N16"/>
  <c r="M16"/>
  <c r="L16"/>
  <c r="O15"/>
  <c r="N15"/>
  <c r="M15"/>
  <c r="L15"/>
  <c r="O14"/>
  <c r="N14"/>
  <c r="M14"/>
  <c r="L14"/>
  <c r="O13"/>
  <c r="N13"/>
  <c r="M13"/>
  <c r="L13"/>
  <c r="O12"/>
  <c r="N12"/>
  <c r="M12"/>
  <c r="L12"/>
  <c r="O11"/>
  <c r="N11"/>
  <c r="M11"/>
  <c r="L11"/>
  <c r="O10"/>
  <c r="N10"/>
  <c r="M10"/>
  <c r="L10"/>
  <c r="O9"/>
  <c r="N9"/>
  <c r="M9"/>
  <c r="L9"/>
  <c r="L8"/>
  <c r="M7"/>
  <c r="N8"/>
  <c r="M8"/>
  <c r="L7"/>
  <c r="M6"/>
  <c r="N7"/>
  <c r="L6"/>
  <c r="M5"/>
  <c r="N6"/>
  <c r="L5"/>
  <c r="M4"/>
  <c r="N5"/>
  <c r="L4"/>
  <c r="M3"/>
  <c r="N4"/>
  <c r="L3"/>
  <c r="M2"/>
  <c r="N3"/>
  <c r="L2"/>
  <c r="N2"/>
  <c r="H1"/>
  <c r="H4"/>
  <c r="E2"/>
  <c r="E4"/>
  <c r="E1"/>
  <c r="O5"/>
  <c r="O2"/>
  <c r="O3"/>
  <c r="O4"/>
  <c r="O8"/>
  <c r="O7"/>
  <c r="O6"/>
  <c r="M2" i="2"/>
  <c r="M30"/>
  <c r="M29"/>
  <c r="M28"/>
  <c r="M27"/>
  <c r="M26"/>
  <c r="M25"/>
  <c r="M24"/>
  <c r="M23"/>
  <c r="M22"/>
  <c r="M21"/>
  <c r="M20"/>
  <c r="M19"/>
  <c r="M18"/>
  <c r="M17"/>
  <c r="M16"/>
  <c r="M15"/>
  <c r="M14"/>
  <c r="M13"/>
  <c r="M12"/>
  <c r="M11"/>
  <c r="M10"/>
  <c r="M9"/>
  <c r="M8"/>
  <c r="M7"/>
  <c r="M6"/>
  <c r="M5"/>
  <c r="M4"/>
  <c r="M3"/>
  <c r="R3"/>
  <c r="R5"/>
  <c r="R11"/>
  <c r="R12"/>
  <c r="R13"/>
  <c r="R14"/>
  <c r="R6"/>
  <c r="N26"/>
  <c r="S26"/>
  <c r="O26"/>
  <c r="N15"/>
  <c r="S15"/>
  <c r="O15"/>
  <c r="R10"/>
  <c r="N14"/>
  <c r="S14"/>
  <c r="O14"/>
  <c r="N13"/>
  <c r="S13"/>
  <c r="O13"/>
  <c r="R2"/>
  <c r="N11"/>
  <c r="S11"/>
  <c r="O11"/>
  <c r="N9"/>
  <c r="S9"/>
  <c r="O9"/>
  <c r="N5"/>
  <c r="S5"/>
  <c r="O5"/>
  <c r="H1"/>
  <c r="H4"/>
  <c r="R8"/>
  <c r="N30"/>
  <c r="S30"/>
  <c r="O30"/>
  <c r="N29"/>
  <c r="S29"/>
  <c r="O29"/>
  <c r="N28"/>
  <c r="S28"/>
  <c r="O28"/>
  <c r="N27"/>
  <c r="S27"/>
  <c r="O27"/>
  <c r="N25"/>
  <c r="S25"/>
  <c r="O25"/>
  <c r="N24"/>
  <c r="S24"/>
  <c r="O24"/>
  <c r="N23"/>
  <c r="S23"/>
  <c r="O23"/>
  <c r="N22"/>
  <c r="S22"/>
  <c r="O22"/>
  <c r="N17"/>
  <c r="S17"/>
  <c r="O17"/>
  <c r="N16"/>
  <c r="S16"/>
  <c r="O16"/>
  <c r="N8"/>
  <c r="S8"/>
  <c r="O8"/>
  <c r="N4"/>
  <c r="S4"/>
  <c r="O4"/>
  <c r="N3"/>
  <c r="S3"/>
  <c r="O3"/>
  <c r="N2"/>
  <c r="S2"/>
  <c r="O2"/>
  <c r="R15"/>
  <c r="E2"/>
  <c r="E4"/>
  <c r="R9"/>
  <c r="E1"/>
  <c r="R4"/>
  <c r="N18"/>
  <c r="S18"/>
  <c r="O18"/>
  <c r="N12"/>
  <c r="S12"/>
  <c r="O12"/>
  <c r="N10"/>
  <c r="S10"/>
  <c r="O10"/>
  <c r="N7"/>
  <c r="S7"/>
  <c r="O7"/>
  <c r="R7"/>
  <c r="N21"/>
  <c r="S21"/>
  <c r="O21"/>
  <c r="N20"/>
  <c r="S20"/>
  <c r="O20"/>
  <c r="N19"/>
  <c r="S19"/>
  <c r="O19"/>
  <c r="N6"/>
  <c r="S6"/>
  <c r="O6"/>
  <c r="B20" i="1"/>
  <c r="B21"/>
  <c r="C13"/>
  <c r="E13"/>
  <c r="C15"/>
  <c r="E15"/>
  <c r="E20"/>
  <c r="C9"/>
  <c r="E9"/>
  <c r="E21"/>
  <c r="F21"/>
  <c r="H2"/>
  <c r="H3"/>
  <c r="F9"/>
  <c r="C7"/>
  <c r="E7"/>
  <c r="R7"/>
  <c r="S7"/>
  <c r="J7"/>
  <c r="U7"/>
  <c r="Y7"/>
  <c r="W7"/>
  <c r="I7"/>
  <c r="F20"/>
  <c r="M6"/>
  <c r="U6"/>
  <c r="Y6"/>
  <c r="W6"/>
  <c r="I6"/>
  <c r="R6"/>
  <c r="S6"/>
  <c r="J6"/>
  <c r="K3"/>
  <c r="C14"/>
  <c r="E14"/>
  <c r="F14"/>
  <c r="C17"/>
  <c r="E17"/>
  <c r="F17"/>
  <c r="M9"/>
  <c r="F15"/>
  <c r="M8"/>
  <c r="L24"/>
  <c r="L37"/>
  <c r="L36"/>
  <c r="L35"/>
  <c r="L34"/>
  <c r="L33"/>
  <c r="L32"/>
  <c r="L31"/>
  <c r="L30"/>
  <c r="L29"/>
  <c r="L28"/>
  <c r="L27"/>
  <c r="L26"/>
  <c r="L25"/>
  <c r="T4"/>
  <c r="U2"/>
  <c r="N20"/>
  <c r="N19"/>
  <c r="N18"/>
  <c r="N17"/>
  <c r="N16"/>
  <c r="S24"/>
  <c r="M37"/>
  <c r="T37"/>
  <c r="M36"/>
  <c r="T36"/>
  <c r="N6"/>
  <c r="AC11"/>
  <c r="AC17"/>
  <c r="M11"/>
  <c r="C11"/>
  <c r="E11"/>
  <c r="F11"/>
  <c r="AC16"/>
  <c r="M10"/>
  <c r="F13"/>
  <c r="AC15"/>
  <c r="AC14"/>
  <c r="AC13"/>
  <c r="S30"/>
  <c r="M28"/>
  <c r="C8"/>
  <c r="E8"/>
  <c r="F8"/>
  <c r="S28"/>
  <c r="M27"/>
  <c r="AC9"/>
  <c r="Y40"/>
  <c r="C6"/>
  <c r="E6"/>
  <c r="F6"/>
  <c r="AC8"/>
  <c r="M26"/>
  <c r="AC7"/>
  <c r="AC6"/>
  <c r="S35"/>
  <c r="M25"/>
  <c r="AC5"/>
  <c r="D32"/>
  <c r="AC4"/>
  <c r="S37"/>
  <c r="M24"/>
  <c r="AC3"/>
  <c r="F24"/>
  <c r="F25"/>
  <c r="V2"/>
  <c r="W2"/>
  <c r="AC2"/>
  <c r="T2"/>
  <c r="H1"/>
  <c r="N9"/>
  <c r="N8"/>
  <c r="N37"/>
  <c r="N36"/>
  <c r="M35"/>
  <c r="T35"/>
  <c r="N35"/>
  <c r="M34"/>
  <c r="T34"/>
  <c r="N34"/>
  <c r="M33"/>
  <c r="T33"/>
  <c r="N33"/>
  <c r="M32"/>
  <c r="T32"/>
  <c r="N32"/>
  <c r="M31"/>
  <c r="T31"/>
  <c r="N31"/>
  <c r="M30"/>
  <c r="T30"/>
  <c r="N30"/>
  <c r="M29"/>
  <c r="T29"/>
  <c r="N29"/>
  <c r="T28"/>
  <c r="N28"/>
  <c r="T27"/>
  <c r="N27"/>
  <c r="T26"/>
  <c r="N26"/>
  <c r="T25"/>
  <c r="N25"/>
  <c r="T24"/>
  <c r="N24"/>
  <c r="C18"/>
  <c r="E18"/>
  <c r="F18"/>
  <c r="C16"/>
  <c r="E16"/>
  <c r="F16"/>
  <c r="C10"/>
  <c r="E10"/>
  <c r="F10"/>
  <c r="F7"/>
  <c r="AC72"/>
  <c r="AC73"/>
  <c r="AC80"/>
  <c r="AC81"/>
  <c r="AC82"/>
  <c r="AC83"/>
  <c r="AC84"/>
  <c r="AC85"/>
  <c r="AC86"/>
  <c r="AC87"/>
  <c r="AC88"/>
  <c r="AC89"/>
  <c r="AC90"/>
  <c r="AC74"/>
  <c r="AC91"/>
  <c r="AC92"/>
  <c r="AC93"/>
  <c r="AC94"/>
  <c r="AC95"/>
  <c r="AC96"/>
  <c r="AC97"/>
  <c r="AC98"/>
  <c r="AC99"/>
  <c r="AC100"/>
  <c r="AC101"/>
  <c r="AC75"/>
  <c r="AC76"/>
  <c r="T40"/>
  <c r="C40"/>
  <c r="V40"/>
  <c r="E40"/>
  <c r="C24"/>
  <c r="D24"/>
  <c r="E24"/>
  <c r="AC18"/>
  <c r="AC12"/>
  <c r="T11"/>
  <c r="U11"/>
  <c r="AC1"/>
  <c r="M13"/>
  <c r="AC19"/>
  <c r="Y46"/>
  <c r="AC10"/>
  <c r="Y11"/>
  <c r="W11"/>
  <c r="I11"/>
  <c r="E32"/>
  <c r="AC77"/>
  <c r="AC54"/>
  <c r="AC55"/>
  <c r="AC56"/>
  <c r="AC57"/>
  <c r="AC58"/>
  <c r="AC59"/>
  <c r="AC61"/>
  <c r="AC62"/>
  <c r="AC63"/>
  <c r="AC64"/>
  <c r="AC65"/>
  <c r="AC66"/>
  <c r="AC70"/>
  <c r="AC78"/>
  <c r="AA40"/>
  <c r="N3"/>
  <c r="T41"/>
  <c r="C41"/>
  <c r="C42"/>
  <c r="C43"/>
  <c r="T42"/>
  <c r="T43"/>
  <c r="AA46"/>
  <c r="J46"/>
  <c r="J51"/>
  <c r="J50"/>
  <c r="J49"/>
  <c r="Y48"/>
  <c r="AA48"/>
  <c r="J48"/>
  <c r="Y47"/>
  <c r="AA47"/>
  <c r="J47"/>
  <c r="L51"/>
  <c r="L50"/>
  <c r="L49"/>
  <c r="AC48"/>
  <c r="AF48"/>
  <c r="L48"/>
  <c r="AC47"/>
  <c r="AF47"/>
  <c r="L47"/>
  <c r="AC46"/>
  <c r="AF46"/>
  <c r="L46"/>
  <c r="AD48"/>
  <c r="AD40"/>
  <c r="AD51"/>
  <c r="AB51"/>
  <c r="Z51"/>
  <c r="Y51"/>
  <c r="W51"/>
  <c r="U51"/>
  <c r="T51"/>
  <c r="S51"/>
  <c r="AD50"/>
  <c r="AB50"/>
  <c r="Z50"/>
  <c r="Y50"/>
  <c r="W50"/>
  <c r="U50"/>
  <c r="T50"/>
  <c r="S50"/>
  <c r="AD49"/>
  <c r="AB49"/>
  <c r="Z49"/>
  <c r="Y49"/>
  <c r="W49"/>
  <c r="U49"/>
  <c r="T49"/>
  <c r="S49"/>
  <c r="AB48"/>
  <c r="Z48"/>
  <c r="W48"/>
  <c r="U48"/>
  <c r="T48"/>
  <c r="S48"/>
  <c r="AD47"/>
  <c r="AB47"/>
  <c r="Z47"/>
  <c r="W47"/>
  <c r="U47"/>
  <c r="T47"/>
  <c r="S47"/>
  <c r="AD46"/>
  <c r="AB46"/>
  <c r="Z46"/>
  <c r="W46"/>
  <c r="U46"/>
  <c r="T46"/>
  <c r="S46"/>
  <c r="AD43"/>
  <c r="AB43"/>
  <c r="Z43"/>
  <c r="Y43"/>
  <c r="W43"/>
  <c r="U43"/>
  <c r="S43"/>
  <c r="AD42"/>
  <c r="AB42"/>
  <c r="Z42"/>
  <c r="Y42"/>
  <c r="W42"/>
  <c r="U42"/>
  <c r="S42"/>
  <c r="AD41"/>
  <c r="AB41"/>
  <c r="Z41"/>
  <c r="Y41"/>
  <c r="W41"/>
  <c r="U41"/>
  <c r="S41"/>
  <c r="AB40"/>
  <c r="Z40"/>
  <c r="W40"/>
  <c r="U40"/>
  <c r="S40"/>
  <c r="AE51"/>
  <c r="AG51"/>
  <c r="AC51"/>
  <c r="AF51"/>
  <c r="AA51"/>
  <c r="V51"/>
  <c r="R51"/>
  <c r="N51"/>
  <c r="M51"/>
  <c r="K51"/>
  <c r="I51"/>
  <c r="H51"/>
  <c r="F51"/>
  <c r="E51"/>
  <c r="D51"/>
  <c r="C51"/>
  <c r="B51"/>
  <c r="AE50"/>
  <c r="AG50"/>
  <c r="AC50"/>
  <c r="AF50"/>
  <c r="AA50"/>
  <c r="V50"/>
  <c r="R50"/>
  <c r="N50"/>
  <c r="M50"/>
  <c r="K50"/>
  <c r="I50"/>
  <c r="H50"/>
  <c r="F50"/>
  <c r="E50"/>
  <c r="D50"/>
  <c r="C50"/>
  <c r="B50"/>
  <c r="AE49"/>
  <c r="AG49"/>
  <c r="AC49"/>
  <c r="AF49"/>
  <c r="AA49"/>
  <c r="V49"/>
  <c r="R49"/>
  <c r="N49"/>
  <c r="M49"/>
  <c r="K49"/>
  <c r="I49"/>
  <c r="H49"/>
  <c r="F49"/>
  <c r="E49"/>
  <c r="D49"/>
  <c r="C49"/>
  <c r="B49"/>
  <c r="AE48"/>
  <c r="AG48"/>
  <c r="V48"/>
  <c r="R48"/>
  <c r="N48"/>
  <c r="M48"/>
  <c r="K48"/>
  <c r="I48"/>
  <c r="H48"/>
  <c r="F48"/>
  <c r="E48"/>
  <c r="D48"/>
  <c r="C48"/>
  <c r="B48"/>
  <c r="AE47"/>
  <c r="AG47"/>
  <c r="V47"/>
  <c r="R47"/>
  <c r="N47"/>
  <c r="M47"/>
  <c r="K47"/>
  <c r="I47"/>
  <c r="H47"/>
  <c r="F47"/>
  <c r="E47"/>
  <c r="D47"/>
  <c r="C47"/>
  <c r="B47"/>
  <c r="AE46"/>
  <c r="AG46"/>
  <c r="V46"/>
  <c r="R46"/>
  <c r="N46"/>
  <c r="M46"/>
  <c r="K46"/>
  <c r="I46"/>
  <c r="H46"/>
  <c r="F46"/>
  <c r="E46"/>
  <c r="D46"/>
  <c r="C46"/>
  <c r="B46"/>
  <c r="AE43"/>
  <c r="AG43"/>
  <c r="AC43"/>
  <c r="AF43"/>
  <c r="AA43"/>
  <c r="V43"/>
  <c r="R43"/>
  <c r="N43"/>
  <c r="M43"/>
  <c r="L43"/>
  <c r="K43"/>
  <c r="J43"/>
  <c r="I43"/>
  <c r="H43"/>
  <c r="F43"/>
  <c r="E43"/>
  <c r="D43"/>
  <c r="B43"/>
  <c r="AE42"/>
  <c r="AG42"/>
  <c r="AC42"/>
  <c r="AF42"/>
  <c r="AA42"/>
  <c r="V42"/>
  <c r="R42"/>
  <c r="N42"/>
  <c r="M42"/>
  <c r="L42"/>
  <c r="K42"/>
  <c r="J42"/>
  <c r="I42"/>
  <c r="H42"/>
  <c r="F42"/>
  <c r="E42"/>
  <c r="D42"/>
  <c r="B42"/>
  <c r="AE41"/>
  <c r="AG41"/>
  <c r="AC41"/>
  <c r="AF41"/>
  <c r="AA41"/>
  <c r="V41"/>
  <c r="R41"/>
  <c r="N41"/>
  <c r="M41"/>
  <c r="L41"/>
  <c r="K41"/>
  <c r="J41"/>
  <c r="I41"/>
  <c r="H41"/>
  <c r="F41"/>
  <c r="E41"/>
  <c r="D41"/>
  <c r="B41"/>
  <c r="AE40"/>
  <c r="AG40"/>
  <c r="AC40"/>
  <c r="AF40"/>
  <c r="R40"/>
  <c r="N40"/>
  <c r="M40"/>
  <c r="L40"/>
  <c r="K40"/>
  <c r="J40"/>
  <c r="I40"/>
  <c r="H40"/>
  <c r="F40"/>
  <c r="D40"/>
  <c r="B40"/>
  <c r="L15"/>
  <c r="R11"/>
  <c r="S11"/>
  <c r="J11"/>
  <c r="R10"/>
  <c r="S10"/>
  <c r="R9"/>
  <c r="S9"/>
  <c r="R8"/>
  <c r="S8"/>
  <c r="E33"/>
  <c r="E34"/>
  <c r="E35"/>
  <c r="E36"/>
  <c r="E37"/>
  <c r="D37"/>
  <c r="C37"/>
  <c r="B37"/>
  <c r="D36"/>
  <c r="C36"/>
  <c r="B36"/>
  <c r="D35"/>
  <c r="C35"/>
  <c r="B35"/>
  <c r="D34"/>
  <c r="C34"/>
  <c r="B34"/>
  <c r="D33"/>
  <c r="C33"/>
  <c r="B33"/>
  <c r="C32"/>
  <c r="B32"/>
  <c r="F37"/>
  <c r="F36"/>
  <c r="F35"/>
  <c r="F34"/>
  <c r="F33"/>
  <c r="F32"/>
  <c r="L22"/>
  <c r="L21"/>
  <c r="L20"/>
  <c r="L19"/>
  <c r="L18"/>
  <c r="L17"/>
  <c r="L16"/>
  <c r="E25"/>
  <c r="D25"/>
  <c r="C25"/>
  <c r="S36"/>
  <c r="S34"/>
  <c r="S33"/>
  <c r="S32"/>
  <c r="S31"/>
  <c r="S29"/>
  <c r="S27"/>
  <c r="S26"/>
  <c r="S25"/>
  <c r="U9"/>
  <c r="Y9"/>
  <c r="W9"/>
  <c r="I9"/>
  <c r="U8"/>
  <c r="Y8"/>
  <c r="W8"/>
  <c r="I8"/>
  <c r="U10"/>
  <c r="Y10"/>
  <c r="W10"/>
  <c r="I10"/>
  <c r="AC20"/>
  <c r="AC21"/>
  <c r="E4"/>
  <c r="J10"/>
  <c r="J9"/>
  <c r="J8"/>
  <c r="E29"/>
  <c r="F29"/>
  <c r="E28"/>
  <c r="F28"/>
  <c r="N51" i="10"/>
  <c r="M51"/>
  <c r="L51"/>
  <c r="K51"/>
  <c r="J51"/>
  <c r="I51"/>
  <c r="H51"/>
  <c r="F51"/>
  <c r="E51"/>
  <c r="D51"/>
  <c r="C51"/>
  <c r="B51"/>
  <c r="N50"/>
  <c r="M50"/>
  <c r="L50"/>
  <c r="K50"/>
  <c r="J50"/>
  <c r="I50"/>
  <c r="H50"/>
  <c r="F50"/>
  <c r="E50"/>
  <c r="D50"/>
  <c r="C50"/>
  <c r="B50"/>
  <c r="N49"/>
  <c r="M49"/>
  <c r="L49"/>
  <c r="K49"/>
  <c r="J49"/>
  <c r="I49"/>
  <c r="H49"/>
  <c r="F49"/>
  <c r="E49"/>
  <c r="D49"/>
  <c r="C49"/>
  <c r="B49"/>
  <c r="N48"/>
  <c r="M48"/>
  <c r="L48"/>
  <c r="K48"/>
  <c r="J48"/>
  <c r="I48"/>
  <c r="H48"/>
  <c r="F48"/>
  <c r="E48"/>
  <c r="D48"/>
  <c r="C48"/>
  <c r="B48"/>
  <c r="N47"/>
  <c r="M47"/>
  <c r="L47"/>
  <c r="K47"/>
  <c r="J47"/>
  <c r="I47"/>
  <c r="H47"/>
  <c r="F47"/>
  <c r="E47"/>
  <c r="D47"/>
  <c r="C47"/>
  <c r="B47"/>
  <c r="N46"/>
  <c r="M46"/>
  <c r="L46"/>
  <c r="K46"/>
  <c r="J46"/>
  <c r="I46"/>
  <c r="H46"/>
  <c r="F46"/>
  <c r="E46"/>
  <c r="D46"/>
  <c r="C46"/>
  <c r="B46"/>
  <c r="N43"/>
  <c r="M43"/>
  <c r="L43"/>
  <c r="K43"/>
  <c r="J43"/>
  <c r="I43"/>
  <c r="H43"/>
  <c r="F43"/>
  <c r="E43"/>
  <c r="D43"/>
  <c r="C43"/>
  <c r="B43"/>
  <c r="N42"/>
  <c r="M42"/>
  <c r="L42"/>
  <c r="K42"/>
  <c r="J42"/>
  <c r="I42"/>
  <c r="H42"/>
  <c r="F42"/>
  <c r="E42"/>
  <c r="D42"/>
  <c r="C42"/>
  <c r="B42"/>
  <c r="N41"/>
  <c r="M41"/>
  <c r="L41"/>
  <c r="K41"/>
  <c r="J41"/>
  <c r="I41"/>
  <c r="H41"/>
  <c r="F41"/>
  <c r="E41"/>
  <c r="D41"/>
  <c r="C41"/>
  <c r="B41"/>
  <c r="N40"/>
  <c r="M40"/>
  <c r="L40"/>
  <c r="K40"/>
  <c r="J40"/>
  <c r="I40"/>
  <c r="H40"/>
  <c r="F40"/>
  <c r="E40"/>
  <c r="D40"/>
  <c r="C40"/>
  <c r="B40"/>
  <c r="N37"/>
  <c r="M37"/>
  <c r="L37"/>
  <c r="K37"/>
  <c r="F37"/>
  <c r="E37"/>
  <c r="D37"/>
  <c r="C37"/>
  <c r="B37"/>
  <c r="N36"/>
  <c r="M36"/>
  <c r="L36"/>
  <c r="K36"/>
  <c r="F36"/>
  <c r="E36"/>
  <c r="D36"/>
  <c r="C36"/>
  <c r="B36"/>
  <c r="N35"/>
  <c r="M35"/>
  <c r="L35"/>
  <c r="K35"/>
  <c r="F35"/>
  <c r="E35"/>
  <c r="D35"/>
  <c r="C35"/>
  <c r="B35"/>
  <c r="K34"/>
  <c r="L34"/>
  <c r="M34"/>
  <c r="N34"/>
  <c r="F34"/>
  <c r="E34"/>
  <c r="D34"/>
  <c r="C34"/>
  <c r="B34"/>
  <c r="K33"/>
  <c r="L33"/>
  <c r="M33"/>
  <c r="N33"/>
  <c r="F33"/>
  <c r="E33"/>
  <c r="D33"/>
  <c r="C33"/>
  <c r="B33"/>
  <c r="K32"/>
  <c r="L32"/>
  <c r="M32"/>
  <c r="N32"/>
  <c r="F32"/>
  <c r="E32"/>
  <c r="D32"/>
  <c r="C32"/>
  <c r="B32"/>
  <c r="K31"/>
  <c r="L31"/>
  <c r="M31"/>
  <c r="N31"/>
  <c r="K30"/>
  <c r="L30"/>
  <c r="M30"/>
  <c r="N30"/>
  <c r="K29"/>
  <c r="L29"/>
  <c r="M29"/>
  <c r="N29"/>
  <c r="C6"/>
  <c r="E6"/>
  <c r="K28"/>
  <c r="L28"/>
  <c r="M28"/>
  <c r="N28"/>
  <c r="K27"/>
  <c r="L27"/>
  <c r="M27"/>
  <c r="N27"/>
  <c r="K26"/>
  <c r="L26"/>
  <c r="M26"/>
  <c r="N26"/>
  <c r="K25"/>
  <c r="L25"/>
  <c r="M25"/>
  <c r="N25"/>
  <c r="F25"/>
  <c r="E25"/>
  <c r="D25"/>
  <c r="C25"/>
  <c r="K24"/>
  <c r="L24"/>
  <c r="M24"/>
  <c r="N24"/>
  <c r="F24"/>
  <c r="E24"/>
  <c r="D24"/>
  <c r="C24"/>
  <c r="C11"/>
  <c r="E11"/>
  <c r="C7"/>
  <c r="E7"/>
  <c r="C14"/>
  <c r="E14"/>
  <c r="H2"/>
  <c r="M13"/>
  <c r="L22"/>
  <c r="L21"/>
  <c r="B20"/>
  <c r="B21"/>
  <c r="C13"/>
  <c r="E13"/>
  <c r="C15"/>
  <c r="E15"/>
  <c r="E20"/>
  <c r="C9"/>
  <c r="E9"/>
  <c r="E21"/>
  <c r="L20"/>
  <c r="L19"/>
  <c r="C19"/>
  <c r="L18"/>
  <c r="C18"/>
  <c r="E18"/>
  <c r="L17"/>
  <c r="C17"/>
  <c r="E17"/>
  <c r="L16"/>
  <c r="C16"/>
  <c r="E16"/>
  <c r="L15"/>
  <c r="I11"/>
  <c r="J11"/>
  <c r="C10"/>
  <c r="E10"/>
  <c r="M9"/>
  <c r="C8"/>
  <c r="E8"/>
  <c r="E4"/>
  <c r="B4"/>
  <c r="A4"/>
  <c r="N3"/>
  <c r="K3"/>
  <c r="F6"/>
  <c r="E29"/>
  <c r="F29"/>
  <c r="E28"/>
  <c r="F28"/>
  <c r="F20"/>
  <c r="F18"/>
  <c r="F17"/>
  <c r="F16"/>
  <c r="F15"/>
  <c r="F13"/>
  <c r="F21"/>
  <c r="F14"/>
  <c r="M11"/>
  <c r="F11"/>
  <c r="M10"/>
  <c r="F9"/>
  <c r="J10"/>
  <c r="I10"/>
  <c r="F10"/>
  <c r="N9"/>
  <c r="J9"/>
  <c r="I9"/>
  <c r="H3"/>
  <c r="N8"/>
  <c r="J8"/>
  <c r="I8"/>
  <c r="F8"/>
  <c r="N7"/>
  <c r="J7"/>
  <c r="I7"/>
  <c r="F7"/>
  <c r="N6"/>
  <c r="M6"/>
  <c r="I6"/>
  <c r="J6"/>
  <c r="H1"/>
  <c r="Q65" i="3"/>
  <c r="Q64"/>
  <c r="Q62"/>
  <c r="Q61"/>
  <c r="Q60"/>
  <c r="Q59"/>
  <c r="Q57"/>
  <c r="Q56"/>
  <c r="Q55"/>
  <c r="Q54"/>
  <c r="Q53"/>
  <c r="Q52"/>
  <c r="Q51"/>
  <c r="Q48"/>
  <c r="Q47"/>
  <c r="Q46"/>
  <c r="Q45"/>
  <c r="Q44"/>
  <c r="Q43"/>
  <c r="Q40"/>
  <c r="Q39"/>
  <c r="Q38"/>
  <c r="Q37"/>
  <c r="Q36"/>
  <c r="Q34"/>
  <c r="Q33"/>
  <c r="Q32"/>
  <c r="Q31"/>
  <c r="Q30"/>
  <c r="Q29"/>
  <c r="Q28"/>
  <c r="Q27"/>
  <c r="Q25"/>
  <c r="Q24"/>
  <c r="Q23"/>
  <c r="Q22"/>
  <c r="Q20"/>
  <c r="Q19"/>
  <c r="Q17"/>
  <c r="Q15"/>
  <c r="Q14"/>
  <c r="Q13"/>
  <c r="Q12"/>
  <c r="Q11"/>
  <c r="Q10"/>
  <c r="Q9"/>
  <c r="Q8"/>
  <c r="Q7"/>
  <c r="Q6"/>
  <c r="Q5"/>
  <c r="Q4"/>
  <c r="Q3"/>
  <c r="Q2"/>
  <c r="Q63"/>
</calcChain>
</file>

<file path=xl/sharedStrings.xml><?xml version="1.0" encoding="utf-8"?>
<sst xmlns="http://schemas.openxmlformats.org/spreadsheetml/2006/main" count="4923" uniqueCount="2072">
  <si>
    <t>.410 Gauge Shotgun 7</t>
    <phoneticPr fontId="6"/>
  </si>
  <si>
    <t>.410 Gauge Shotgun 8</t>
    <phoneticPr fontId="6"/>
  </si>
  <si>
    <t>.410 Gauge Shotgun 9</t>
    <phoneticPr fontId="6"/>
  </si>
  <si>
    <t>10 Gauge Shotgun 0 Buck</t>
    <phoneticPr fontId="6"/>
  </si>
  <si>
    <t>10 Gauge Shotgun 00 Buck</t>
    <phoneticPr fontId="6"/>
  </si>
  <si>
    <t>12 Gauge Shotgun 00 Buck</t>
    <phoneticPr fontId="6"/>
  </si>
  <si>
    <t>Weak Will</t>
  </si>
  <si>
    <t>The character is weak willed and receives a -1 per rank on willpower tests.</t>
  </si>
  <si>
    <t>Wild Talent</t>
  </si>
  <si>
    <t>Sense of Duty</t>
  </si>
  <si>
    <t>Split Personality</t>
  </si>
  <si>
    <t>Ugly</t>
  </si>
  <si>
    <t>The character’s appearance is unsettling to most people. The character suffers a -2 penalty per rank in any face-to-face social interactions.</t>
  </si>
  <si>
    <t>Space sick</t>
  </si>
  <si>
    <t>Unhurried</t>
  </si>
  <si>
    <t>The character is not in a hurry to perform tasks. He must make a willpower test at 18 to start any non-combat task. He does not have problems finishing tasks, just getting them started.</t>
  </si>
  <si>
    <t>The character has only one hand and may not use equipment requiring two hands. The character must make tests at -4 when two hands would be normally assumed for a skill. The character may offset some of the penalty with a prosthesis.</t>
  </si>
  <si>
    <t>Outcast</t>
  </si>
  <si>
    <t>Defense</t>
    <phoneticPr fontId="6"/>
  </si>
  <si>
    <t>The character is below average weight and has a -2 penalty on overbearing attacks and a -2 penalty on disguise and shadowing skills due to his distinctive body shape.</t>
  </si>
  <si>
    <t>Slow Healing</t>
  </si>
  <si>
    <t>If high tech/low tech. This is the ability to read and write. This may not be purchased if Higher Education is purchased. See the Education rules below. This is only an advantage in low tech/illiterate cultures.</t>
    <phoneticPr fontId="14" type="noConversion"/>
  </si>
  <si>
    <t>Mute</t>
  </si>
  <si>
    <t>The character has a phobia agreed on with the GM. Whenever confronted with the phobia, the character is at a -1 penalty per rank on all actions.</t>
  </si>
  <si>
    <t>Poor Sight</t>
  </si>
  <si>
    <t>The character has a wild psychic talent at level 1 to 4 that causes trouble. He must make a willpower test 20 plus wild talent rank in stressful situations to avoid talent use. The ability to control this talent cannot be improved unless the character purchases Psychic and buys off this disadvantage.</t>
  </si>
  <si>
    <t>Youth</t>
  </si>
  <si>
    <t>Poverty</t>
  </si>
  <si>
    <t>Addiction (Internet)</t>
  </si>
  <si>
    <t>The character is not good in social situations and has a -1 penalty per rank to any interactions in social settings involving more than 4 people.</t>
  </si>
  <si>
    <t>Soft-hearted</t>
  </si>
  <si>
    <t>The character carries some sort of social stigma and has -1 per rank on attitude/reactions from people who are aware of the stigma. There may be societal restrictions placed on the character as well.</t>
  </si>
  <si>
    <t>Socially Awkward</t>
  </si>
  <si>
    <t>The character doesn’t let slights go easily. He must make a willpower test target 16 to resist paying back a slight at the first opportunity.</t>
  </si>
  <si>
    <t>Vow</t>
  </si>
  <si>
    <t>Angkamba (Elven Martial Art)</t>
    <phoneticPr fontId="6"/>
  </si>
  <si>
    <t>Bonus</t>
    <phoneticPr fontId="6"/>
  </si>
  <si>
    <t>Skill Total</t>
    <phoneticPr fontId="6"/>
  </si>
  <si>
    <t>Social Defense</t>
    <phoneticPr fontId="6"/>
  </si>
  <si>
    <t>Unlucky</t>
  </si>
  <si>
    <t>The character is innately truthful. To keep silent about a lie, he must make a willpower test target 16. To actively lie, he must make a willpower test 21.</t>
  </si>
  <si>
    <t>The character’s speech is difficult to understand. In stressful situations, listeners must make a perception roll to understand what the character is saying.</t>
  </si>
  <si>
    <t>Init Bonus</t>
    <phoneticPr fontId="6"/>
  </si>
  <si>
    <t>Init Penalty</t>
    <phoneticPr fontId="6"/>
  </si>
  <si>
    <t>Total</t>
    <phoneticPr fontId="6"/>
  </si>
  <si>
    <t>Strange Luck</t>
  </si>
  <si>
    <t>The character hates to spend money or give it to anyone. The character must make a willpower 16 test at -1 per rank to spend money beyond the basics required to maintain his life style.</t>
  </si>
  <si>
    <t>The character has half the normal life span for his species and ages proportionately faster.</t>
  </si>
  <si>
    <t>Ritual Spellcaster</t>
  </si>
  <si>
    <t>The character is blacklisted by his former organization. This is not equivalent to Enemy, but will cause difficulties in situations when people from that organization are involved.</t>
  </si>
  <si>
    <t>Overconfident</t>
  </si>
  <si>
    <t>The character is sure his way is the right way and insists that others do it his way. This results in a -1 per rank on attitude/reactions from those affected. The character may give in only if he makes a willpower 16 plus one per rank (17-19) or if another character succeeds at a presence based test against the character at a penalty of -1 per rank.</t>
  </si>
  <si>
    <t>Agility</t>
    <phoneticPr fontId="6"/>
  </si>
  <si>
    <t>The character is mired in routines and habits. The character must make a willpower test 16 with a penalty of -2 per rank to break a routine. The character would be happy to help with your investigation, but tonight is grocery shopping. Maybe right after that.</t>
  </si>
  <si>
    <t>Sadism/Masochism</t>
  </si>
  <si>
    <t>Driver, Automobile</t>
  </si>
  <si>
    <t>The character has an intrinsic vulnerability to something. Whatever it is causes normal damage if the character is normally immune to something, or may cause extra damage. Think silver with werewolves. This disadvantage must be taken each time the Immune advantage is taken.</t>
  </si>
  <si>
    <t>Weak Stomach</t>
  </si>
  <si>
    <t>The character is 4 to 6 years under age (-2 per year younger than 18), The character receives a -2 on adult attitude/reactions to his ideas, he is barred from bars, etc. However, the character may be able to use his youth as an advantage in certain situations.</t>
  </si>
  <si>
    <t>1-6</t>
    <phoneticPr fontId="14" type="noConversion"/>
  </si>
  <si>
    <t>Age</t>
    <phoneticPr fontId="14" type="noConversion"/>
  </si>
  <si>
    <t>-1 per 5 years over 50</t>
    <phoneticPr fontId="14" type="noConversion"/>
  </si>
  <si>
    <t>The character looks like a celebrity and may be mistaken for him, or the character resembles a wanted felon.</t>
  </si>
  <si>
    <t>Mistreated Minority</t>
  </si>
  <si>
    <t>The character is a member of minority group in his culture and receives penalties of -1 per rank on social interactions due to race, religion, gender, etc.</t>
  </si>
  <si>
    <t>The character is new at his job/organization. The character is at +1 difficulty on social rolls with other members and his security clearance is minimal.</t>
  </si>
  <si>
    <t>PSI/Spell Focus</t>
  </si>
  <si>
    <t>The character is at +1 difficulty per rank on all tests involving sight. This is correctable with glasses or contacts.</t>
  </si>
  <si>
    <t>Mistaken Identity</t>
  </si>
  <si>
    <t>Jealousy</t>
  </si>
  <si>
    <t>The character is unable to speak and must use notes, keyboard, sign language, etc. to communicate. The player may not speak to others in the group to offer suggestions or warnings when the characters are “in the field.”</t>
  </si>
  <si>
    <t>Neat-freak</t>
  </si>
  <si>
    <t>The character is constantly cleaning. This may be annoying to others.</t>
  </si>
  <si>
    <t>Nightmares</t>
  </si>
  <si>
    <t>Big Mouth (Smartass)</t>
  </si>
  <si>
    <t>Aikido</t>
    <phoneticPr fontId="6"/>
  </si>
  <si>
    <t>The character has been diagnosed with a terminal disease and has been given 6-36 months to live. The GM will tell the character when he dies. Depending on the disease, the GM may start imposing penalties on the character that grow progressively worse as the character nears his time of death.</t>
  </si>
  <si>
    <t>The character is territorial and suffers penalties when away from his home range. Whenever away from home turf, he is at +1 difficulty on all mental and social actions.</t>
  </si>
  <si>
    <t>Truthfulness</t>
  </si>
  <si>
    <t>The character has made a vow to do or not do something; the higher the rank, the bigger the vow. Role-play it, but the GM may require a willpower 16 plus rank for the character to avoid action related to the vow.</t>
  </si>
  <si>
    <t>Vulnerability</t>
  </si>
  <si>
    <t>The character is just unlucky. Once per session, something will go wrong. The GM may improvise, or simply require him to re-roll a successful test.</t>
  </si>
  <si>
    <t>Unsettling Effect</t>
  </si>
  <si>
    <t>The character is easily deceived and must make a perception test 16 to not believe a lie</t>
  </si>
  <si>
    <t>Hard of hearing</t>
  </si>
  <si>
    <t>The character suffers from a split personality or multiple personality disorder. Role-play it. People will have a -3 on attitude/reactions if aware of problem.</t>
  </si>
  <si>
    <t>The character suffers a -1 penalty per rank to all actions when in the presence of blood and gore. The character must also make a willpower test 16 at a -1 penalty per rank to avoid throwing up.</t>
  </si>
  <si>
    <t>The character is of lower than average social standing (although, this may be a penalty depending on the attitude(s) of the person(s) interacted with). Typically, subtract the rank from social tests. Alternatively, see the Social Standing rules below</t>
  </si>
  <si>
    <t>The character has low bone density from time spent in low/zero gravity and has +1 difficulty per rank on all strenuous physical activities as well as +1 D6 damage per rank from falls when in normal Earth gravity. Double the effects in a high gravity environment.</t>
  </si>
  <si>
    <t>Lower Education</t>
  </si>
  <si>
    <t>Low-G disorder</t>
  </si>
  <si>
    <t>.410 Gauge Shotgun 6</t>
    <phoneticPr fontId="6"/>
  </si>
  <si>
    <t>The character is thinks the world of himself. The character must also take fanaticism with an object of self. Others generally have a -2 attitude/reaction, but other fanatics looking for cause will be +2 attitude/reaction.</t>
  </si>
  <si>
    <t>Memorable</t>
  </si>
  <si>
    <t>The character tends to overestimate his abilities and underestimate the danger presented by opponents or situations. The character must make an intelligence test 16 (i.e. +1 difficulty) to act with normal caution.</t>
  </si>
  <si>
    <t>Overweight</t>
  </si>
  <si>
    <t>The character is lucky in a strange way. Once per session, either the character or GM may invoke Strange Luck. Something will happen that will be both advantageous and disadvantageous to the character. For instance, the character may almost avoid certain death in an accident, but then slip on some ice and break a leg.</t>
  </si>
  <si>
    <t>Stubborn</t>
  </si>
  <si>
    <t>The character may only cast spells or use psionic abilities after performing a ritual lasting one hour per point of energy required.</t>
  </si>
  <si>
    <t>Routine-bound</t>
  </si>
  <si>
    <t>Stutter</t>
  </si>
  <si>
    <t>Terminal Disease</t>
  </si>
  <si>
    <t>The character has a sense of duty or responsibility regarding something or someone. The character must act within the parameters established with the GM regarding the sense of duty.</t>
  </si>
  <si>
    <t>Territorial</t>
  </si>
  <si>
    <t>Ineptitude</t>
  </si>
  <si>
    <t>The character is inept at a skill and always uses it with -2 penalty. This is the opposite of a talent.</t>
  </si>
  <si>
    <t>Intolerance/</t>
  </si>
  <si>
    <t>Prejudice</t>
  </si>
  <si>
    <t>The character is a slow healer. All healing times are increased 50%.</t>
  </si>
  <si>
    <t>Sniffles</t>
  </si>
  <si>
    <t>The character must make a willpower test 16 to spend money. The character will always look for best deal and complain how much he has to pay. The character will never own multiple sets of armor, more than one weapon of each type for his skills, etc.</t>
  </si>
  <si>
    <t>The character is continually tripping over his own feet and receives a -1 penalty per rank to any agility based tests.</t>
  </si>
  <si>
    <t>Lame</t>
  </si>
  <si>
    <t>The character is fanatic about something and must role-play a very strong belief. His fanaticism will result in a -1 penalty per rank to attitude/reaction rolls.</t>
  </si>
  <si>
    <t>Flashbacks</t>
  </si>
  <si>
    <t>The character has flashbacks to a traumatic situation. When in a similar situation, the character must make a willpower test 16 or flashback, causing him to possibly attack his friends or innocent people or cause harm to himself.</t>
  </si>
  <si>
    <t>Fragile</t>
  </si>
  <si>
    <t>The character has no sense of smell/taste and automatically fails all perception tests related to those senses. Otherwise, role-play it.</t>
  </si>
  <si>
    <t>Obsession</t>
  </si>
  <si>
    <t>The character always seems to have a minor disease, like a cold or flu. If it is going around, the character will catch it. The character will have something at least half the time. There are no direct game penalties, but people may avoid contact with the character when he is obviously sick. In addition, when sick and to his disadvantage (sneaking up on someone, hiding, etc.) he will invariably sneeze or cough.</t>
  </si>
  <si>
    <t>Social Stigma</t>
  </si>
  <si>
    <t>When the character uses psionics or magic, it causes anyone present to feel weird and uneasy. If they learn the cause, reactions may range from social interaction penalties to physical attacks.</t>
  </si>
  <si>
    <t>Vengeful</t>
  </si>
  <si>
    <t>Whenever the opportunity presents itself, the character must attempt some sort of practical joke on a friend, acquaintance, or party member.</t>
  </si>
  <si>
    <t>Primitive</t>
  </si>
  <si>
    <t>-1 per tech level lower</t>
  </si>
  <si>
    <t>The character must make a willpower test 10 daily to avoid setting a fire.</t>
  </si>
  <si>
    <t>Quirks</t>
  </si>
  <si>
    <t>The character has 1 to 5 quirks, such as distinctive dress, affectations, etc that help define the character.</t>
  </si>
  <si>
    <t>Rapid Aging</t>
  </si>
  <si>
    <t>Low Pain Threshold</t>
  </si>
  <si>
    <t>The character must make a willpower test 16 to avoid monetary temptations. The test target increases if the money gets too good.</t>
  </si>
  <si>
    <t>Gullibility</t>
  </si>
  <si>
    <t>The character has dwarfism and receives penalties as appropriate for each situation (vehicle controls are unreachable, etc.). The character also receives a -1 penalty on attitude/reaction rolls.</t>
  </si>
  <si>
    <t>Dyslexia</t>
  </si>
  <si>
    <t>The character is a champion of lost causes. The character has a -4 penalty in social situations when a lost cause comes up.</t>
  </si>
  <si>
    <t>The character has a minor/major reading disability. The character must make literacy tests with a penalty of -2 per rank</t>
  </si>
  <si>
    <t>Enemy</t>
  </si>
  <si>
    <t>The character has a mental derangement (select an insanity and role-play it). The character may be held in a mental hospital for treatment and will receive a -2 penalty on attitude/reaction roll penalties.</t>
  </si>
  <si>
    <t>Miserliness</t>
  </si>
  <si>
    <t>Illiteracy</t>
  </si>
  <si>
    <t>The character’s stutter causes a -2 on attitude/reaction. Some skills or professions may be unusable.</t>
  </si>
  <si>
    <t>Superstitious</t>
  </si>
  <si>
    <t>The character is mildly to very superstitious. The character must consult his horoscope, change directions if a black cat crosses his path, etc. To act against his superstitions, the character must make a willpower test target 16 with a penalty of -2 per rank.</t>
  </si>
  <si>
    <t>Tech-Hex</t>
  </si>
  <si>
    <t>This disadvantage is limited to characters that also have the Magic advantage. The GM may require this disadvantage for such characters. Tech Hex limits the character’s use of high-tech equipment. See the Magic rules for more information.</t>
  </si>
  <si>
    <t>The character is short for his species. Speed is three quarters normal and the character may face some societal obstacles, such as -1 per rank attitude/reaction for prospective dates.</t>
  </si>
  <si>
    <t>Shy</t>
  </si>
  <si>
    <t>The character is impulsive. He cannot stand to make plans for more than 30 seconds. If the other characters are making a plan, he will start doing something without waiting for them.</t>
  </si>
  <si>
    <t>A spirit is haunting the character. The spirit power is low, medium, or high depending on the rank. Low power spirits are mostly annoying, but high power spirits can be deadly.</t>
  </si>
  <si>
    <t>Phobia</t>
  </si>
  <si>
    <t>The character is famous/infamous and instantly recognizable wherever he goes within the locale of his fame. This causes the character and group problems as the locals interfere with their activities. The locales 1-6 are: small town, large town, city, state, country, continent, global. The player and GM should determine whether the character is famous or infamous and why based on the overall character concept and other advantages, disadvantages.</t>
  </si>
  <si>
    <t>Fanaticism</t>
  </si>
  <si>
    <t>The character has a secret, which if known, (1) would cost him serious prestige or money, (2) is a felony worth 10 years in prison, or (3) is so heinous law enforcement officers would shoot him on sight.</t>
  </si>
  <si>
    <t>Deafness</t>
  </si>
  <si>
    <t xml:space="preserve">The character is not as tough as the average person and has 5 less hit points per ranks. </t>
  </si>
  <si>
    <t>Fugitive</t>
  </si>
  <si>
    <t>Poverty is worse than Broke. The character must relinquish money earned/received in his occupation or adventuring over and above the level required to maintain an "impoverished" lifestyle. The character has a –4 penalty to archetype cash and income rolls.</t>
  </si>
  <si>
    <t>The character must make a willpower test 16 (+1 difficulty) to prevent intervention in a situation where someone is suffering.</t>
  </si>
  <si>
    <t>The character suffers from space sickness and is at +3 difficulty on all actions or +1 difficulty if using medication to alleviate his symptoms.</t>
  </si>
  <si>
    <t>Speech Impediment</t>
  </si>
  <si>
    <t>Practical Joker</t>
  </si>
  <si>
    <t>The character’s use of psychic/magic powers causes physical repercussions, including automatic depletion and accompanying migraines that make the character –2 per rank on all actions following the use of those powers for 1 hour per rank.</t>
  </si>
  <si>
    <t>Pyromania</t>
  </si>
  <si>
    <t>The character is less able to resist pain. All wound penalties are at +1. Tests to resist threatened pain, such as in intimidation or interrogation situations are at +1 difficulty.</t>
  </si>
  <si>
    <t>Low Potential</t>
  </si>
  <si>
    <t>The character’s maximum for one attribute is 17. In addition, costs to increase that attribute are doubled.</t>
  </si>
  <si>
    <t>Low Social Standing</t>
  </si>
  <si>
    <t>The character is disfigured and receives a -3 penalty on visual interactions. Conversely, the character receives a +3 bonus when using intimidation.</t>
  </si>
  <si>
    <t>Duty</t>
  </si>
  <si>
    <t>The character has a duty to someone (family, friends, an organization). When Duty calls, Rank 1 generally provides inconveniences; Rank 2 may occasion some danger; Rank 3 may be life threatening.</t>
  </si>
  <si>
    <t>Dwarfism</t>
  </si>
  <si>
    <t>The character has an enemy. Someone or some organization wants to imprison, kill, humiliate, etc. the character. The higher the rating, the tougher the enemy and/or the more he hates you and wants inflict greater harm. This disadvantage may be purchased multiple times to create additional enemies.</t>
  </si>
  <si>
    <t>Epilepsy</t>
  </si>
  <si>
    <t>The character is easily recognizable. Attempts to describe the character or pick him out of line-up are at +1 per rank.</t>
  </si>
  <si>
    <t>Mental Derangement</t>
  </si>
  <si>
    <t>The character must make a willpower test 16 to break off combat or otherwise stop hurting another or allowing himself to be hurt.</t>
  </si>
  <si>
    <t>The character is overweight/fat. The character receives a -1 penalty per rank to initiative and his extra weight counts as encumbrance, with penalties and bonuses as appropriate.</t>
  </si>
  <si>
    <t>Overwhelmed</t>
  </si>
  <si>
    <t>The character is unnaturally inept at a skill at which he has the ineptitude disadvantage. In addition to the ineptitude penalties, the cost to increase the skill is 2 points more than the normal cost.</t>
  </si>
  <si>
    <t>Personal Haunting</t>
  </si>
  <si>
    <t>The character is intolerant of some species, lifestyle, or behavior (decide with GM approval what this is) and is at +2 difficulty in interactions with persons of that group. The character receives a -2 on attitude/reaction rolls from those who do not share his views if they are aware of them.</t>
  </si>
  <si>
    <t>The character has nightmares at least twice a week. The character is at +1 difficulty for all actions for 1D6 hours after awakening.</t>
  </si>
  <si>
    <t>No Sense of Smell/Taste</t>
  </si>
  <si>
    <t>Famous/Infamous</t>
  </si>
  <si>
    <t>The character is curious about anything he doesn’t understand. He must make a willpower test 16 (possibly at +1 or +2 difficulty depending on circumstances) to avoid snooping.</t>
  </si>
  <si>
    <t>Dandy</t>
  </si>
  <si>
    <t>The character is always well dressed and if his duds get dirty or torn, he will be at a -2 on all actions until he can change them.</t>
  </si>
  <si>
    <t>Daredevil</t>
  </si>
  <si>
    <t>The character tends to hesitate in combat situations. The character rolls initiative twice each round and takes the worst roll</t>
  </si>
  <si>
    <t>Combat Paralysis</t>
  </si>
  <si>
    <t>The character’s arrogance causes him to receive a -1 on attitude/reaction tests of others.</t>
  </si>
  <si>
    <t>Aversion</t>
  </si>
  <si>
    <t>The character is wanted by law enforcement agencies for capital crimes. Lawmen will recognize him on a perception test +2 difficulty roll and act appropriately.</t>
  </si>
  <si>
    <t>Gigantism</t>
  </si>
  <si>
    <t>The character has a bad leg. Rank 1: He can only operate at 3/4 speed, is -3 to physical defense and -3 on melee skills. Rank 2: He is at 1/4 speed, requires a prosthesis, crutch, etc., and is -6 to physical defense and -6 on melee skills.</t>
  </si>
  <si>
    <t>The character will not break the law.</t>
  </si>
  <si>
    <t>Laziness</t>
  </si>
  <si>
    <t>The character is from a primitive society and may not use high tech equipment until this disadvantage is bought off.</t>
  </si>
  <si>
    <t>Provisional Member</t>
  </si>
  <si>
    <t>The character is sterile and cannot produce children; he is not happy about this and seeks medical means to change his condition.</t>
  </si>
  <si>
    <t>Stingy</t>
  </si>
  <si>
    <t>The character must make a willpower test 16 to avoid eating/drinking whenever supplies are available until he has consumed double the normal rations for a meal.</t>
  </si>
  <si>
    <t>Greed</t>
  </si>
  <si>
    <t>The character is a “bleeder.” He continues to take damage each round equal to 10% of the total damage previously taken until wounds are treated.</t>
  </si>
  <si>
    <t>Honest</t>
  </si>
  <si>
    <t>The character will always tell the truth and never break his word.</t>
  </si>
  <si>
    <t>Hunted</t>
  </si>
  <si>
    <t>The character has hearing impairment and +1 difficulty on all hearing perception tests.</t>
  </si>
  <si>
    <t>Hemophilia</t>
  </si>
  <si>
    <t>One Hand</t>
  </si>
  <si>
    <t>The character’s education is below average. Use the rank as a penalty to any academic/scientific skills. Alternately, see the Education rules below</t>
  </si>
  <si>
    <t>Megalomania</t>
  </si>
  <si>
    <t>The character must make a willpower test 16 plus 1 to 4 (17-20, based on the disadvantage rank) to avoid compulsive action. The character chooses a compulsive behavior with the GM. Higher ranks increase the frequency and severity of the compulsion</t>
  </si>
  <si>
    <t>Cowardice</t>
  </si>
  <si>
    <t>The character must make a willpower test each round to act in the face of danger. Once a test is successful, no further tests are required for the duration of the situation. The test is 21 if faced with deadly danger (a firefight) or 16 if faced with less deadly danger (a barroom brawl). The character also receives a -2 attitude/reaction from those who know of his cowardice.</t>
  </si>
  <si>
    <t>Credo</t>
  </si>
  <si>
    <t>Creepy</t>
  </si>
  <si>
    <t>The character has a credo, such as no man left behind. At rank 1, the character may only ignore his credo if he makes a willpower test 16 with a -3 penalty. At rank 2, he cannot ignore his credo.</t>
  </si>
  <si>
    <t>This is similar to enemy, except that whoever is after the character is actively looking for him and the character must continually be looking over his shoulder. There should be some presence of the hunters at least every other game session. If the character is captured, he can expect to be imprisoned for life at best and tortured and killed at worst.</t>
  </si>
  <si>
    <t>The character is shy and doesn’t function well in social interactions with persons not well known to him. When the character is the center of attention, +1 difficulty on social actions and +2 difficulty on performing or oration actions per rank.</t>
  </si>
  <si>
    <t>Skinny</t>
  </si>
  <si>
    <t>The character must use a wheelchair. The character’s physical defense is -5 and he may not use dodge.</t>
  </si>
  <si>
    <t>Path Inept</t>
  </si>
  <si>
    <t>The character has had his/her sexual organs altered so they no longer function or has no interest in sex. He/she is immune to seduction, but receives a -1 attitude/reaction from persons aware of this.</t>
  </si>
  <si>
    <t>The character must make a willpower test 14 or steal an item when an opportunity to do so exists.</t>
  </si>
  <si>
    <t>Klutz</t>
  </si>
  <si>
    <t>The character is impatient and receives a +1 difficulty on extended actions. All attempts to cause the character to lose his cool are at +2. The character receives a -1 penalty to willpower tests to remain calm in stressful situations.</t>
  </si>
  <si>
    <t>The character uses coarse and inappropriate language and has a -2 attitude/reaction in social interactions.</t>
  </si>
  <si>
    <t>Curiosity</t>
  </si>
  <si>
    <t>The character must make a perception test 16 to wake up and is at +1 difficulty on all actions for the following 10 minutes.</t>
  </si>
  <si>
    <t>Deformity</t>
  </si>
  <si>
    <t>Combat Indecisive</t>
  </si>
  <si>
    <t>The character is continually broke. At rank 1, the character forfeits half of any money he earns, wins, etc. At rank 2, the character forfeits three-quarters of any money.</t>
  </si>
  <si>
    <t>Bully</t>
  </si>
  <si>
    <t>Strength of Psyche</t>
  </si>
  <si>
    <t>The character tends to freeze in combat situations. The character must make a willpower test target 16 to function normally in combat. The test is rolled each round in the character’s action phase as defined by his initiative. Once a successful test is made, the character will function normally for the remainder of the combat.</t>
  </si>
  <si>
    <t>Combat Stress</t>
  </si>
  <si>
    <t>The character has a deformity. He is at +1 difficulty on skills affected by the deformity.</t>
  </si>
  <si>
    <t>Delusions</t>
  </si>
  <si>
    <t>The character avoids work at any cost – role-play it.</t>
  </si>
  <si>
    <t>Lightweight</t>
  </si>
  <si>
    <t>Law-abiding</t>
  </si>
  <si>
    <t>Rank 1: The character must conjure verbally or somatically. Rank 2: As rank 1 plus the character must have a material psi/spell focus.</t>
  </si>
  <si>
    <t>Psychic Feedback</t>
  </si>
  <si>
    <t>The character has only one arm and may not use equipment requiring two arms. The character must make tests at -4 when two arms would be normally assumed for a skill. The character may offset some of the penalty with a prosthesis.</t>
  </si>
  <si>
    <t>One Eye</t>
  </si>
  <si>
    <t>The character is blind in one eye and receives +1 difficulty on attack, dodge and other skills requiring depth perception. Visual perception tests have a -2 penalty.</t>
  </si>
  <si>
    <t>The character has a lack of resistance to toxins and receives a -1 penalty per rank on tests to resist poisons, drugs, and alcohol.</t>
  </si>
  <si>
    <t>The character has someone who is dependent on him. This could be a child, spouse, lover, parent, friend who is an invalid, etc. The character must make provision for the care of the dependent during game play, such as sending money to the person. Higher ranks may denote a higher level of dependency or multiple dependents or a combination of the two.</t>
  </si>
  <si>
    <t>Disfigured</t>
  </si>
  <si>
    <t>The character’s basic needs have some form of limitation or requirement, such as kosher food, vitamin supplements, no milk, no wheat, etc.</t>
  </si>
  <si>
    <t>Compulsive Behavior</t>
  </si>
  <si>
    <t>Compulsive Liar</t>
  </si>
  <si>
    <t>The character has a true love. The character must make a willpower test with a base target of 20 and a +4 difficulty to betray his love. The character receives a +4 bonus on all tests involving actions taken to defend his love.</t>
  </si>
  <si>
    <t>Twin Link</t>
  </si>
  <si>
    <t>The character tends to blab all the time. In stressful situations, the character says truthful, but hurtful things. The character must make a willpower test with a target of 16 to hold his tongue in stressful situations.</t>
  </si>
  <si>
    <t>Black and White</t>
  </si>
  <si>
    <t>The character has epilepsy. A failed willpower roll 11 in a stressful situation brings on a seizure during which the character is helpless for 4-16 (4D4) rounds.</t>
  </si>
  <si>
    <t>Eunuch</t>
  </si>
  <si>
    <t>The character is overwhelmed by stressful situations. All tasks performed under chaotic conditions are at +2, difficulty. The character may avoid the penalty by making a willpower test 21.</t>
  </si>
  <si>
    <t>Pacifism</t>
  </si>
  <si>
    <t>The character detests violence. The character will never initiate combat, will fight only to defend himself or others, and if possible, will only inflict non-lethal damage/the character is totally non-violent and will never harm another.</t>
  </si>
  <si>
    <t>Paranoia</t>
  </si>
  <si>
    <t>The character never trusts anyone except old friends, but keeps an eye on them too. Others’ attitude/reactions are at -2 if they know.</t>
  </si>
  <si>
    <t>Paraplegic</t>
  </si>
  <si>
    <t>Impulsiveness</t>
  </si>
  <si>
    <t>The character cannot hear and receives penalties as appropriate for each situation. The character receives a -4 penalty to hearing-based learning and perception tests, but receives a bonus of +3 on all lip-reading or sign language skills</t>
  </si>
  <si>
    <t>Deep Sleeper</t>
  </si>
  <si>
    <r>
      <t xml:space="preserve">The character regenerates wounds and damage, including organ damage and severed limbs. The character receives a healing test each hour and if successful, the character’s damage is reduced by one level (see the Healing rules). The character receives one healing test if he is outright dead; if successful, his status is improved to dying, </t>
    </r>
    <r>
      <rPr>
        <sz val="12"/>
        <color indexed="10"/>
        <rFont val="Bookman Old Style"/>
      </rPr>
      <t>but stable</t>
    </r>
    <r>
      <rPr>
        <sz val="12"/>
        <rFont val="Bookman Old Style"/>
      </rPr>
      <t xml:space="preserve"> (see Damage rules). If the test fails, the character is dead and receives no further healing tests.</t>
    </r>
  </si>
  <si>
    <t>The character is color blind and takes penalties as appropriate the situation, The penalty will generally be -1 for most tasks involving color, but the GM can make the penalty greater for certain tests.</t>
  </si>
  <si>
    <t>Savant</t>
  </si>
  <si>
    <t>The character is able to deal with well with confrontational social situations and receives a +1 bonus per rank on willpower or presence tests to remain calm.</t>
  </si>
  <si>
    <t>Patron</t>
  </si>
  <si>
    <t>Color Blindness</t>
  </si>
  <si>
    <t>The character is huge for his species and receives -2 on attitude/reaction rolls, -1 on physical defense, and other penalties as appropriate. The character will have trouble with normal beds, chairs, doorways, etc.</t>
  </si>
  <si>
    <t>Glory Hound</t>
  </si>
  <si>
    <t>The character is a thrill seeker and must make a willpower test 16 to avoid doing things in ways that would be more exciting, but also more risky and difficult.</t>
  </si>
  <si>
    <t>Odious Personal Flaws</t>
  </si>
  <si>
    <t>The character is obsessed with something or someone and will do whatever is necessary to obtain that thing or person. The character must make a willpower test 21 to ignore his obsession temporarily (for one day).</t>
  </si>
  <si>
    <t>The character has delusion from a quirk to a major delusion (based on the rank). The delusion must be role-played effectively or the GM can force the character to buy off the disadvantage.</t>
  </si>
  <si>
    <t>Dependents</t>
  </si>
  <si>
    <t>The character receives the disadvantage rank (-1 to -4) as a penalty to attitude/reaction from appropriate NPCs. The rank is also added to the fame total as a positive number to determine if the character is recognized. This disadvantage is limited to a clearly defined group, such as space pilots, physics scientists, etc.),</t>
  </si>
  <si>
    <t>Bad Temper</t>
  </si>
  <si>
    <t>The character selects an age; he does not age beyond that. The cost for this advantage is reduced by one for each five years beyond 30 for the selected age.</t>
  </si>
  <si>
    <t>Undying</t>
  </si>
  <si>
    <t>Berserker</t>
  </si>
  <si>
    <t>The character must make a willpower test with a target of 20 to avoid going berserk in a stressful or combat situation. The character ignores wound penalties while berserk, but must attempt to kill anyone he sees, including his friends. The character must make a willpower test 20 to leave the berserker state.</t>
  </si>
  <si>
    <t>Big Mouth</t>
  </si>
  <si>
    <t>The character has no penalties when making attacks on a single target with a weapon in each hand.</t>
  </si>
  <si>
    <t>Un-aging</t>
  </si>
  <si>
    <t>The character is wealthier than average. The character receives increased income as follows: rolls on all archetype cash and income rolls are made at X3 per rank (i.e. X3, X6, X9, or X12).</t>
  </si>
  <si>
    <t>Absent Minded</t>
  </si>
  <si>
    <t>All things are good or bad with no in between in the perception of the character.</t>
  </si>
  <si>
    <t>Blind</t>
  </si>
  <si>
    <t>The character is illiterate. Only in high tech cultures is this a disadvantage. This may not be purchased if Lower Education is purchased. See the Education rules below.</t>
  </si>
  <si>
    <t>Illness</t>
  </si>
  <si>
    <t>The character has a chronic illness that while not life-threatening, causes the character to have a -3 penalty on all physical actions and a -1 to -3 penalty on mental actions.</t>
  </si>
  <si>
    <t>Impatient</t>
  </si>
  <si>
    <t>The character believes he is better than others and resents anyone who comes off better than him. This needs to be role-played, and may result in negative attitude/reaction rolls by others in response.</t>
  </si>
  <si>
    <t>Kleptomania</t>
  </si>
  <si>
    <t>The character doesn’t know his personal history/or has a blank character sheet with only attributes. In the latter case, the GM will inform the character of skill levels if a skill is attempted.</t>
  </si>
  <si>
    <t>The character may make an intelligence test against a target of 15. If successful, he receives a +2 bonus on an intelligence-based test that immediately follows.</t>
  </si>
  <si>
    <t>The character is a bully, and receives a -2 penalty per rank on all attitude/reaction tests involving people who recognize that.</t>
  </si>
  <si>
    <t>Chip on the Shoulder</t>
  </si>
  <si>
    <t>Allergy</t>
  </si>
  <si>
    <t>The character is an albino is extremely sensitive to sunlight. The character takes 1D6 damage each hour spent in sunlight and is -2 on tests made in sunlight. In addition, albinos are typically less healthy than normal and have their toughness and constitution attributes reduced by 2.</t>
  </si>
  <si>
    <t>The character must make a willpower test 16 or make a pass at best looking member of preferred gender present, regardless of the consequence. The character must make a willpower test 21 to resist seduction attempts by member of the preferred gender.</t>
  </si>
  <si>
    <t>Arrogant</t>
  </si>
  <si>
    <t>The character must make a willpower 16 test to avoid having to take actions that might be considered glorious. The character must make the same test to avoid taking credit for accomplishments that are not solely his.</t>
  </si>
  <si>
    <t>Gluttony</t>
  </si>
  <si>
    <t>The character has some sort of bad personal habits, such as picking his nose in public, not using deodorant, or never bathing. The character receives a -1 penalty on attitude/reaction rolls and his habit may have other game effects, such as an enemy smelling him at an inopportune moment.</t>
  </si>
  <si>
    <t>One Arm</t>
  </si>
  <si>
    <t>The character has an innate resistance to toxins and receives a +1 bonus per rank on tests to resist poisons, drugs, and alcohol.</t>
  </si>
  <si>
    <t>The character is tougher than normal and receives 5 additional hit points per rank.</t>
  </si>
  <si>
    <t>True Love</t>
  </si>
  <si>
    <r>
      <t xml:space="preserve">The character regenerates wounds and damage, including organ damage and severed limbs. The character receives a healing test each round and if successful, the character’s damage is reduced by one level (see the Healing rules). The character receives one healing test if he is outright dead; if successful, his status is improved to dying </t>
    </r>
    <r>
      <rPr>
        <sz val="12"/>
        <color indexed="10"/>
        <rFont val="Bookman Old Style"/>
      </rPr>
      <t>but stable</t>
    </r>
    <r>
      <rPr>
        <sz val="12"/>
        <rFont val="Bookman Old Style"/>
      </rPr>
      <t xml:space="preserve"> (see Damage rules). If the test fails, the character is dead and receives no further healing tests. The cost for this advantage is only 10 if the character already has the Regeneration advantage.</t>
    </r>
  </si>
  <si>
    <t>Reduced Sleep</t>
  </si>
  <si>
    <t>The character has a code of honor involving one to three principles that he must adhere to. The code must include principles that the GM agrees likely could impact the character in game play. Actions to dissuade the character from his code are at +3 difficulty for the person attempting same.</t>
  </si>
  <si>
    <t>The character forgets little things. An intelligence test with a target of 16 is required for using an item (did he remember to bring his gun, or to load it?)</t>
  </si>
  <si>
    <t>Addiction</t>
  </si>
  <si>
    <t>Bloodlust</t>
  </si>
  <si>
    <t>The character must make a willpower test target 16 to accept surrenders or take prisoners or will otherwise attempt to kill all his opponents, including prisoners.</t>
  </si>
  <si>
    <t>The character exudes bad vibes and receives a -5 penalty on most social test. However, the character receives a +5 bonus on socially confrontative skills, such as intimidation, interrogation, or torture.</t>
  </si>
  <si>
    <t>Criminal Past</t>
  </si>
  <si>
    <t>The character has served time and will have a -3 penalty in social interactions when others are aware.</t>
  </si>
  <si>
    <t>Crude</t>
  </si>
  <si>
    <t>The character must specify what this is in regard to. The character must verbally or physically attack whoever provokes the chip on shoulder unless he makes a successful willpower test 16 with a -2 penalty per rank.</t>
  </si>
  <si>
    <t>Code of Honor</t>
  </si>
  <si>
    <t>Savvy</t>
  </si>
  <si>
    <t>The character receives a +2 bonus to his social defense to any attempts to fool, lie to, or otherwise deceive the character.</t>
  </si>
  <si>
    <t>Sex Appeal</t>
  </si>
  <si>
    <t>Amorous</t>
  </si>
  <si>
    <t>Sterility</t>
  </si>
  <si>
    <t>The character suffers from combat stress (PTSD) and receives a penalty of -3 on social interactions with civilians (social, presence, and attitude/reaction tests). The character must also make a perception test 16 to avoid taking combat actions at any perceived threat</t>
  </si>
  <si>
    <t>Complex Needs</t>
  </si>
  <si>
    <t>The character must make a willpower test with a target of 16 in stressful situations. If the test is failed by 5 or less, the character is required to take verbal action. Otherwise, the character must attack the person causing the stress,</t>
  </si>
  <si>
    <t>The GM and Player collaborate on an unusual background for the player. The benefits of the background will determine the cost of this advantage.</t>
  </si>
  <si>
    <t>Wealth</t>
  </si>
  <si>
    <t>The character has excellent peripheral vision, which prevents flank attack and blindside bonuses to attackers who are attacking from the side. This does not extend to attackers directly behind the character.</t>
  </si>
  <si>
    <t>Poison Resistance</t>
  </si>
  <si>
    <t>The character is allergic to something (the player and GM should determine what). The character has a -1 penalty per rank to all actions when in the presence of the allergen. The character may take medications that alleviate the condition.</t>
  </si>
  <si>
    <t>Amnesia</t>
  </si>
  <si>
    <t>The character must sacrifice his own blood to do magic/psionics. The character takes one point of physical damage per 3 points of base depletion for each spell cast/psionic power used.</t>
  </si>
  <si>
    <t>Broke</t>
  </si>
  <si>
    <t>Dark Secret</t>
  </si>
  <si>
    <t>The character can see well in the dark, receiving half penalties/no darkness penalties. This applies to light equivalent to starlit skies, but not to total darkness (such as in a cave or sub-basement.</t>
  </si>
  <si>
    <t>No Sleep</t>
  </si>
  <si>
    <t>The character has a patron, This is similar to the Ally advantage, but the character has obligations to the patron and must from time to time perform duties or undertake missions (although most likely with pay) for the patron. The patron may be an individual, a corporation, or government. The power and aid available from the patron are in accordance with the character points spent on this advantage.</t>
  </si>
  <si>
    <t>Peripheral Vision</t>
  </si>
  <si>
    <t>The character is able to see in complete darkness by sensing heat differentials in his surroundings. This advantage will require a technological or magical explanation to be purchased.</t>
  </si>
  <si>
    <t>Hideout</t>
  </si>
  <si>
    <t>The character chooses a skill to be talented in. He receives a +1 bonus per rank for that skill.</t>
  </si>
  <si>
    <t>Time Sense</t>
  </si>
  <si>
    <t>Bad Reputation/Status</t>
  </si>
  <si>
    <t>Strong Willed</t>
  </si>
  <si>
    <t>The character receives a +1 bonus on willpower tests.</t>
  </si>
  <si>
    <t>Talented</t>
  </si>
  <si>
    <t>The character is a compulsive liar and must make a willpower test 16 to avoid lying, embellishing, etc.</t>
  </si>
  <si>
    <t>Contrarian</t>
  </si>
  <si>
    <t>Lightning Calculator</t>
  </si>
  <si>
    <t>The character is able to do complex math in his head. He receives +2 bonus on build/repair skills and +3 on gambling.</t>
  </si>
  <si>
    <t>0/2</t>
  </si>
  <si>
    <t>Longevity</t>
  </si>
  <si>
    <t>Powerful Presence</t>
  </si>
  <si>
    <t>The character receives a +3 bonus on presence-based tests.</t>
  </si>
  <si>
    <t>Magical Aptitude</t>
  </si>
  <si>
    <t>The character is unable to see and automatically fails all sight based perception tests and is -10 in combat. The character may take acute hearing or acute taste/smell at 1/2 cost.</t>
  </si>
  <si>
    <t>Blood Magic</t>
  </si>
  <si>
    <t>The character needs only half as much sleep as the average member of his species</t>
  </si>
  <si>
    <t>Regeneration</t>
  </si>
  <si>
    <t>The character has a physical aversion to something. When that something is presented against him, he must stay at least 10 feet from that something. The player and GM must agree on what the something is. Think garlic or holy symbols for vampires. This disadvantage may be taken multiple times with each iteration representing an additional aversion.</t>
  </si>
  <si>
    <t>The character has a special power. See the rules on Powers.</t>
  </si>
  <si>
    <t>The character is associated with an item. At rank 1, the item is small and of no real significance. At rank 2, the item is of significance. At rank 3, the item is large and significant. Think of a character who always wears a hat, the Lone Ranger’s silver bullets, and the Batmobile as examples of each rank.</t>
  </si>
  <si>
    <t>The character has an innate armor value of 1 in each type of armor value f(impact, ballistic, energy) for each rank. The GM must determine if this advantage is appropriate in his campaign.</t>
  </si>
  <si>
    <t>The character is sterile and will not produce children; he is unconcerned (or happy) about this.</t>
  </si>
  <si>
    <t>The character begins play older than the normal PC. The character may lose attribute points due to aging.</t>
  </si>
  <si>
    <t>The character is of higher than average social standing. Add the rank as a bonus to social skill tests (although, this may be a penalty depending on the attitude(s) of the person(s) interacted with). Alternatively, see the Social Standing rules below.</t>
  </si>
  <si>
    <t>Higher Education</t>
  </si>
  <si>
    <t>The character has a spirit mentor who assists in spell learning. The character receives a +3 bonus to spell design and spell learning tests. At the GM’s discretion, the character may have to act in accordance to the totem’s tenets.</t>
  </si>
  <si>
    <t>Tough</t>
  </si>
  <si>
    <t>The character learns languages easier than most people. He receives a +2 bonus to learning tests and reduces language skill costs by 1 character point.</t>
  </si>
  <si>
    <t>Legal Enforcement Powers</t>
  </si>
  <si>
    <t>The character requires no sleep so long as he performs an uninterrupted hour of meditation daily,</t>
  </si>
  <si>
    <t>Nose For Trouble</t>
  </si>
  <si>
    <t>The character receives a +5 bonus on tests for one specified skill. This effectively a "super" talent.</t>
  </si>
  <si>
    <t>Rapid Regeneration</t>
  </si>
  <si>
    <t>Magic Resistance</t>
  </si>
  <si>
    <t>The character must purchase this advantage to learn and use magic spells and skills. The character must already have the Psionic Aptitude and Psychic advantages.</t>
  </si>
  <si>
    <t>21-250</t>
    <phoneticPr fontId="6"/>
  </si>
  <si>
    <t>501-1000</t>
    <phoneticPr fontId="6"/>
  </si>
  <si>
    <t>The character receives the un-aging, rapid regeneration, Immunity to Disease, and Poison Resistance advantages at a reduced cost.</t>
  </si>
  <si>
    <t>Unusual Background</t>
  </si>
  <si>
    <t>The character is an active member of armed forces with commensurate duties/perks. The levels are: 1-private, 2-corporal, 3-sergeant, 4-Lieutenant, 5-Captain, 6-Major, 7-Lieutenant Colonel, 8-Colonel, 9-Brigader General, 10-Major General. It is suggested that unless the GM has a specific campaign in mind, that ranks above 5 not be allowed.</t>
  </si>
  <si>
    <t>Minor Power</t>
  </si>
  <si>
    <t>Psionic Aptitude</t>
  </si>
  <si>
    <t>The character may use Psionic powers. The character must already have the Psychic advantage.</t>
  </si>
  <si>
    <t>Psychic</t>
  </si>
  <si>
    <t>The character has Psychic abilities as determined using the rules from the Psionics and Magic section.</t>
  </si>
  <si>
    <t>Rapid Healing</t>
  </si>
  <si>
    <t>The character is resistant to spells/psionics and his resistance tests are increased by 1 per rank.</t>
  </si>
  <si>
    <t>The character is allowed awareness/perception tests to sense trouble even when such a test would not normally be allowed.</t>
  </si>
  <si>
    <t>Off The Grid</t>
  </si>
  <si>
    <t>When wounded, the penalties to the character are reduced by 1. The character also receives a +3 bonus to resist torture.</t>
  </si>
  <si>
    <t>High Social Standing</t>
  </si>
  <si>
    <t>Ninjutsu</t>
  </si>
  <si>
    <t>21-125</t>
  </si>
  <si>
    <t>The character has an addiction. A cost of -1-3 is a legal substance (e.g. cigarettes, caffeine. or alcohol) and -4-6 is illegal drugs. The character receives a +1 difficulty on all actions for each 24 hour period without intake until the character exceeds the detox time for the substance (depends on drug, cost per dose, number of doses daily, etc.).</t>
  </si>
  <si>
    <t>Path Natural</t>
  </si>
  <si>
    <t>The character receives a +3 bonus on social skills affecting the preferred gender.</t>
  </si>
  <si>
    <t>Signature Item</t>
  </si>
  <si>
    <t>Albinism</t>
  </si>
  <si>
    <t>Special Power</t>
  </si>
  <si>
    <t>Innate Armor</t>
  </si>
  <si>
    <t>The character is immune to something. This could be bullets, melee weapons, fire, cold, etc. The character may take this advantage multiple times and essentially become invulnerable. The GM must agree to the immunity and the character must also take the Vulnerability disadvantage each time he takes Immunity.</t>
  </si>
  <si>
    <t>Immunity to Disease</t>
  </si>
  <si>
    <t>The character never gets sick. This includes immunity to nasty stuff like Ebola, anthrax, and smallpox</t>
  </si>
  <si>
    <t>In Plain Sight</t>
  </si>
  <si>
    <t>Dexterity</t>
  </si>
  <si>
    <t>Original</t>
  </si>
  <si>
    <t>Gauss Pistol 2mm</t>
  </si>
  <si>
    <t>10 Gauge Shotgun 2 Buck</t>
  </si>
  <si>
    <t>Pistol Gyrojet</t>
  </si>
  <si>
    <t>Rifle .22 Jet</t>
  </si>
  <si>
    <t>Rifle .22-250</t>
  </si>
  <si>
    <t>Full Auto 20</t>
  </si>
  <si>
    <t>Steady Calm</t>
  </si>
  <si>
    <t>Performance, General</t>
    <phoneticPr fontId="6"/>
  </si>
  <si>
    <t>Mechanical</t>
    <phoneticPr fontId="6"/>
  </si>
  <si>
    <t>The character is always calm and doesn’t get surprised or excited easily. The character receives a +3 bonus against social, combat, and magical attacks (such as fear) where calmness would help.</t>
  </si>
  <si>
    <t>Patient</t>
  </si>
  <si>
    <t>The character may make a Perception test with a target of 15 to know the direction. The character also has no ill effects from zero-g.</t>
  </si>
  <si>
    <t>The character has no penalties when making attribute use tests for craft/technical skills not possessed.</t>
  </si>
  <si>
    <t>Language Talent</t>
  </si>
  <si>
    <t>The character belongs to a faction of an organization and is considered a “golden boy” by members of that faction. The character receives a +2 bonus on social tests with members of that faction.</t>
  </si>
  <si>
    <t>The character always knows the time and how much time has elapsed since recent events. In addition to other uses the character may put this to, he does not need a watch.</t>
  </si>
  <si>
    <t>Totem/Spirit Guide</t>
  </si>
  <si>
    <t>Good Natured</t>
  </si>
  <si>
    <t>The character is lucky and may re-roll one test per hour/half hour of game time, depending on rank.</t>
  </si>
  <si>
    <t>The character is a cop or FBI, etc., and may make arrests, be allowed on crime scenes, examine case files, etc. Extra ranks indicate higher rank in the particular agency.</t>
  </si>
  <si>
    <t>The character receives a +1 bonus per rank to healing tests and healing times are reduced by 20% per rank (80%/60%/40%).</t>
  </si>
  <si>
    <t>The character may choose one attribute that can be increased one above the normal maximum (i.e. the max will be 19). The character may pay to increase the attribute as many times as it takes to reach 19.</t>
  </si>
  <si>
    <t>Faction Favorite</t>
  </si>
  <si>
    <t>The character receives a +2 bonus on learning tests and skill increases are -1 character point cost.</t>
  </si>
  <si>
    <t>Flow of Ki</t>
  </si>
  <si>
    <t>The character receives a +2 bonus per rank on attitude/reaction tests made by persons who regard the character as their preferred gender</t>
  </si>
  <si>
    <t>Attuned to Nature</t>
  </si>
  <si>
    <t>The character is in tune with his ki. By spending 1 to 3 rounds focusing his ki, the character will reduce physical action target numbers (including combat) by one per round spent focusing.</t>
  </si>
  <si>
    <t>The character has someone (or something) watching over him and may help in times of need. This help will usually be subtle.</t>
  </si>
  <si>
    <t>Healer’s Touch</t>
  </si>
  <si>
    <t>The character has a cheerful and sunny nature. The character receives a +1 bonus per rank to social interactions and people generally are friendly to the character.</t>
  </si>
  <si>
    <t>Good Reputation/Status</t>
  </si>
  <si>
    <t>The character receives a +1 bonus per rank to all actions pertaining to designing, building, repairing, and using electronic devices.</t>
  </si>
  <si>
    <t>Blue Blood</t>
  </si>
  <si>
    <t>The character has double the normal life expectancy of his species and ages proportionately.</t>
  </si>
  <si>
    <t>Luck</t>
  </si>
  <si>
    <t>Space Pilot, General</t>
    <phoneticPr fontId="6"/>
  </si>
  <si>
    <t>Mechanical Engineering</t>
    <phoneticPr fontId="6"/>
  </si>
  <si>
    <t>Grey Ssu</t>
  </si>
  <si>
    <t>The character has a minor special power. See the rules on Powers.</t>
  </si>
  <si>
    <t>Musical Ability</t>
  </si>
  <si>
    <t>The character receives a +1 bonus per rank on leadership and command tests.</t>
  </si>
  <si>
    <t>Night Vision</t>
  </si>
  <si>
    <t>Military Rank</t>
  </si>
  <si>
    <t>The character is able to withstand double the Gs the average person can take before passing out.</t>
  </si>
  <si>
    <t>High Pain Tolerance</t>
  </si>
  <si>
    <t>At rank 1, any research into a character results in a complete but clean record, no matter the character’s true past. At rank 2, the record is clean, but only basic information is available. At rank 3, no record of the character can be found.</t>
  </si>
  <si>
    <t>The character has a permanent psychic bond with another person. At rank 1, the bond allows the characters connected to feel what the other is experiencing (empathy). At rank 2 the characters share a telepathic link (which includes an empathic link). The range for an empathic link is unlimited and the range for a telepathic link is 50 miles. The link is always present in the background, but must be concentrated on to actively use it.</t>
  </si>
  <si>
    <t>Two Handed Fighting</t>
  </si>
  <si>
    <t>Math Ability</t>
  </si>
  <si>
    <t>The character receives a +1 bonus per rank on musical tests.</t>
  </si>
  <si>
    <t>Natural Leader</t>
  </si>
  <si>
    <t>The character receives a +3 bonus on math tests, and a +2 bonus on engineering tests.</t>
  </si>
  <si>
    <t>The character’s education was above average. Each point purchased is the equivalent of 2 years of college for the average student. Add the rank as a bonus to any academic/scientific skill tests. Alternatively, see the education rules below.</t>
  </si>
  <si>
    <t>You have friends in high or low places (choose which) that can provide information at rank 1+. At higher ranks, the contacts may provide minor assistance.</t>
  </si>
  <si>
    <t>Crack Driver/Pilot</t>
  </si>
  <si>
    <t>Strength</t>
  </si>
  <si>
    <t>Tech 14 Laser Pistol 5mm</t>
  </si>
  <si>
    <t>The character chooses whether this bonus will apply to driving or pilot skill. Thereafter, he receives a +2 per rank on all tests involving that skill and the physical defense of the vehicle he is driving/piloting is increased by 2.</t>
  </si>
  <si>
    <t>Danger Sense</t>
  </si>
  <si>
    <t>The character is never surprised and may act normally when opponents surprise the character’s group.</t>
  </si>
  <si>
    <t>Debt</t>
  </si>
  <si>
    <t>Military Science, Operations</t>
  </si>
  <si>
    <t>Bowyer-Fletcher</t>
  </si>
  <si>
    <t>10 Gauge Shotgun 1 Buck</t>
  </si>
  <si>
    <t>The character has a photographic memory and normally is able to exhibit near-perfect recall. In stressful situations, he receives a +10 bonus on memory tests.</t>
  </si>
  <si>
    <t>Endurance</t>
  </si>
  <si>
    <t>101-150</t>
  </si>
  <si>
    <t>Power Generation</t>
    <phoneticPr fontId="6"/>
  </si>
  <si>
    <t>Initiative</t>
    <phoneticPr fontId="6"/>
  </si>
  <si>
    <t>Mechanical Power Generation</t>
    <phoneticPr fontId="6"/>
  </si>
  <si>
    <t>The character has no memorable features and blends into scenes like a piece of the background. The character receives a +1 bonus to all disguise, stealth, and surveillance type tests and all awareness tests to notice the character are a at -1 per rank.</t>
  </si>
  <si>
    <t>Internal Compass</t>
  </si>
  <si>
    <t>When needed to make a decision, the character may get a hint from the GM to make the right choice, once per session.</t>
  </si>
  <si>
    <t>Jack of All Trades</t>
  </si>
  <si>
    <t>The character is able to get feelings about people (may ask the GM for a hint once per encounter about a person's personality).</t>
  </si>
  <si>
    <t>Enchanting Voice</t>
  </si>
  <si>
    <t>The character’s voice is naturally beautiful and soothing. The character receives a +2 bonus to presence-based skills that include a verbal component, such as seduction and singing.</t>
  </si>
  <si>
    <t>The character receives a +2 bonus to influence others whose preferred gender is the same as the character’s.</t>
  </si>
  <si>
    <t>Attractiveness</t>
  </si>
  <si>
    <t>Faith</t>
  </si>
  <si>
    <t>Intuition/Psychic</t>
    <phoneticPr fontId="6"/>
  </si>
  <si>
    <t>Magic/Psychic</t>
    <phoneticPr fontId="14" type="noConversion"/>
  </si>
  <si>
    <t>Tech 15 Laser HMG 10mm</t>
  </si>
  <si>
    <t>Farming, Dirt</t>
  </si>
  <si>
    <t>Aslan</t>
  </si>
  <si>
    <t>K'kree</t>
  </si>
  <si>
    <t>Life Science</t>
    <phoneticPr fontId="6"/>
  </si>
  <si>
    <t>The character has faith in something. This could be in a religion, science, or philosophy. The character receives a +1 bonus per rank to willpower based tests where his faith would be of aid (GM decision).</t>
  </si>
  <si>
    <t>Fast Learner</t>
  </si>
  <si>
    <t>Propulsion Tech</t>
    <phoneticPr fontId="6"/>
  </si>
  <si>
    <t>Working Life</t>
    <phoneticPr fontId="6"/>
  </si>
  <si>
    <t>The character receives a +1 bonus per rank to all actions pertaining to nature, including animal interactions and wilderness survival.</t>
  </si>
  <si>
    <t>Attuned to Technology</t>
  </si>
  <si>
    <t>Magic/Psychic, General</t>
    <phoneticPr fontId="6"/>
  </si>
  <si>
    <t>Reaction Drive Tech</t>
    <phoneticPr fontId="6"/>
  </si>
  <si>
    <t>Knowledge</t>
    <phoneticPr fontId="6"/>
  </si>
  <si>
    <t>Tech 16 Blaster Pistol 5mm</t>
  </si>
  <si>
    <t>11-40</t>
  </si>
  <si>
    <t>6-40</t>
  </si>
  <si>
    <t>Skills</t>
  </si>
  <si>
    <t>Type</t>
    <phoneticPr fontId="6"/>
  </si>
  <si>
    <t>1001-2000</t>
    <phoneticPr fontId="6"/>
  </si>
  <si>
    <t>0-20</t>
    <phoneticPr fontId="6"/>
  </si>
  <si>
    <t>Heavy Weapons</t>
    <phoneticPr fontId="14" type="noConversion"/>
  </si>
  <si>
    <t>Auto 12</t>
  </si>
  <si>
    <t>BP Pistol .45 Caliber</t>
  </si>
  <si>
    <t>BP Rifle .50 caliber</t>
  </si>
  <si>
    <t>The character is a natural at comforting sick and injured people and receives a +1 bonus per rank to any medical or healing tests when treating others.</t>
  </si>
  <si>
    <t>Math, General</t>
    <phoneticPr fontId="6"/>
  </si>
  <si>
    <t>Technical</t>
    <phoneticPr fontId="6"/>
  </si>
  <si>
    <t>Throwing</t>
    <phoneticPr fontId="6"/>
  </si>
  <si>
    <t>Projectile Weapons</t>
  </si>
  <si>
    <t>Atlatl</t>
    <phoneticPr fontId="6"/>
  </si>
  <si>
    <t>This is a resistance vs. Stupidity, The GM will provide limited advice if asked and will warn the character if he is about to do something that common sense would advise against. If the player overuses this advantage, the GM should put a limit of the number of times per session it can be used.</t>
  </si>
  <si>
    <t>Contacts</t>
  </si>
  <si>
    <t>Propulsion Tech</t>
    <phoneticPr fontId="6"/>
  </si>
  <si>
    <t>Heavy Weapons</t>
    <phoneticPr fontId="6"/>
  </si>
  <si>
    <t>Unarmed Combat, General</t>
    <phoneticPr fontId="6"/>
  </si>
  <si>
    <t>Immune</t>
  </si>
  <si>
    <t>Pistol .32 ACP .32 Auto</t>
  </si>
  <si>
    <t>Lab Technique</t>
  </si>
  <si>
    <t>16 Gauge Shotgun 6</t>
  </si>
  <si>
    <t>Tech 15 Laser LMG 5mm</t>
  </si>
  <si>
    <t>126-250</t>
  </si>
  <si>
    <t>251-350</t>
  </si>
  <si>
    <t>Gauss Pistol 4mm</t>
  </si>
  <si>
    <t>Lip Reading</t>
  </si>
  <si>
    <t>Some one owes the character money, from a few hundred to a few thousand dollars, dependent on the number of ranks taken. Conversely, the debt may be a favor that is owed that would be comparable to the aforementioned monetary debt.</t>
  </si>
  <si>
    <t>Detached</t>
  </si>
  <si>
    <t>The character is detached from physical stimuli and may use psychic powers when injured with no wound penalties until fully incapacitated.</t>
  </si>
  <si>
    <t>Disease Resistance</t>
  </si>
  <si>
    <t>Art, General</t>
    <phoneticPr fontId="6"/>
  </si>
  <si>
    <t>Earth Science, General</t>
    <phoneticPr fontId="6"/>
  </si>
  <si>
    <t>Chemistry, General</t>
    <phoneticPr fontId="6"/>
  </si>
  <si>
    <t>Chemistry</t>
    <phoneticPr fontId="6"/>
  </si>
  <si>
    <t>SMG M1A1 Thompson</t>
  </si>
  <si>
    <t>Shuriken</t>
  </si>
  <si>
    <t>SMG M3A1 Grease Gun</t>
  </si>
  <si>
    <t>Discipline, General</t>
    <phoneticPr fontId="6"/>
  </si>
  <si>
    <t>Driver, General</t>
    <phoneticPr fontId="6"/>
  </si>
  <si>
    <t>Guns, General</t>
    <phoneticPr fontId="6"/>
  </si>
  <si>
    <t>Projectile Weapons, General</t>
    <phoneticPr fontId="6"/>
  </si>
  <si>
    <t>Defusing Explosives</t>
  </si>
  <si>
    <t>The character is a natural adept at one skill at which he is talented (see the Talent rules). The player selects the skill with the GM’s approval. The cost to increase the skill is 2 points less than the normal cost.</t>
  </si>
  <si>
    <t>Rank 1: The character has no penalty to off-hand use, reduce two-weapon attack penalty to -1/Rank 2: Two-weapon penalty is 0.</t>
  </si>
  <si>
    <t>Animal Empathy</t>
  </si>
  <si>
    <t>The character receives a +2 bonus on attitude/reaction rolls with animals.</t>
  </si>
  <si>
    <t>Animal Magnetism</t>
  </si>
  <si>
    <t>Flexible Weapon</t>
    <phoneticPr fontId="6"/>
  </si>
  <si>
    <t>Agility</t>
    <phoneticPr fontId="6"/>
  </si>
  <si>
    <t>Melee Weapons</t>
    <phoneticPr fontId="6"/>
  </si>
  <si>
    <t>Fuel Production</t>
    <phoneticPr fontId="6"/>
  </si>
  <si>
    <t>Life Science, General</t>
    <phoneticPr fontId="6"/>
  </si>
  <si>
    <t>Computers</t>
    <phoneticPr fontId="6"/>
  </si>
  <si>
    <t>201-250</t>
  </si>
  <si>
    <t>Height:</t>
  </si>
  <si>
    <t>Weight:</t>
  </si>
  <si>
    <t>2300 AD</t>
  </si>
  <si>
    <t>Xiang</t>
  </si>
  <si>
    <t>Sung</t>
  </si>
  <si>
    <t>101-200</t>
  </si>
  <si>
    <t>Fencing</t>
  </si>
  <si>
    <t>Pentapod</t>
  </si>
  <si>
    <t>Intrusion</t>
    <phoneticPr fontId="6"/>
  </si>
  <si>
    <t>Awareness</t>
    <phoneticPr fontId="6"/>
  </si>
  <si>
    <t>Nuclear Fuel Production</t>
  </si>
  <si>
    <t>First Impression</t>
  </si>
  <si>
    <t>76-150</t>
  </si>
  <si>
    <t>151-200</t>
  </si>
  <si>
    <t>Covert</t>
    <phoneticPr fontId="6"/>
  </si>
  <si>
    <t>Engineering</t>
    <phoneticPr fontId="6"/>
  </si>
  <si>
    <t>Life Science</t>
    <phoneticPr fontId="6"/>
  </si>
  <si>
    <t>Perception</t>
    <phoneticPr fontId="6"/>
  </si>
  <si>
    <t>Covert</t>
    <phoneticPr fontId="6"/>
  </si>
  <si>
    <t>Cannot penetrate hardened armor (value greater than 5)</t>
  </si>
  <si>
    <t>Barbed Arrow</t>
  </si>
  <si>
    <t>Thriddle</t>
  </si>
  <si>
    <t>Intelligence</t>
    <phoneticPr fontId="6"/>
  </si>
  <si>
    <t>Tech 15 Blaster Carbine 5mm</t>
  </si>
  <si>
    <t>Atlatl</t>
    <phoneticPr fontId="6"/>
  </si>
  <si>
    <t>6-15</t>
    <phoneticPr fontId="6"/>
  </si>
  <si>
    <t>Full Auto 50</t>
  </si>
  <si>
    <t>Muzz 1</t>
  </si>
  <si>
    <t>Pump 8</t>
  </si>
  <si>
    <t>BP Pistol .50 caliber</t>
  </si>
  <si>
    <t>Tech 15 Blaster HMG 5mm</t>
  </si>
  <si>
    <t>Military, General</t>
    <phoneticPr fontId="6"/>
  </si>
  <si>
    <t>FTL Space Pilot</t>
    <phoneticPr fontId="6"/>
  </si>
  <si>
    <t>Pistol .22 Jet</t>
  </si>
  <si>
    <t>Pilot</t>
    <phoneticPr fontId="6"/>
  </si>
  <si>
    <t>Vectored Thrust Aircraft</t>
  </si>
  <si>
    <t>Naval Pilot</t>
  </si>
  <si>
    <t>Business</t>
  </si>
  <si>
    <t>Poignard</t>
  </si>
  <si>
    <t>Pistol 7mm Nambu</t>
  </si>
  <si>
    <t>Hunting</t>
  </si>
  <si>
    <t>Technical, General</t>
    <phoneticPr fontId="6"/>
  </si>
  <si>
    <t>Ranged Weapons, General</t>
    <phoneticPr fontId="6"/>
  </si>
  <si>
    <t>Spacecraft Electrician</t>
    <phoneticPr fontId="6"/>
  </si>
  <si>
    <t>Space Pilot</t>
    <phoneticPr fontId="6"/>
  </si>
  <si>
    <t>Range Table</t>
  </si>
  <si>
    <t>6-15</t>
  </si>
  <si>
    <t>5-10</t>
  </si>
  <si>
    <t>Speed</t>
  </si>
  <si>
    <t>Walking</t>
  </si>
  <si>
    <t>orig Damage</t>
  </si>
  <si>
    <t>Ion Pistol</t>
  </si>
  <si>
    <t>The character has a secret identity with ID, etc. The more ranks, the more solid and secure the identity is.</t>
  </si>
  <si>
    <t>The character has a secret hideout that has a +5 per rank difficulty to find. At rank 1, the hideout will accommodate up to 3 people and has supplies for a month. At rank 2, the hideout will accommodate 10 people for a month.</t>
  </si>
  <si>
    <t>High G Tolerance</t>
  </si>
  <si>
    <t>The character rolls initiative twice and keeps the best roll.</t>
  </si>
  <si>
    <t>Common Sense</t>
  </si>
  <si>
    <t>Pilot, General</t>
    <phoneticPr fontId="6"/>
  </si>
  <si>
    <t>Remote Drone Aircraft</t>
    <phoneticPr fontId="6"/>
  </si>
  <si>
    <t>Rotary Wing Aircraft</t>
    <phoneticPr fontId="6"/>
  </si>
  <si>
    <t>Variable Wing Aircraft</t>
    <phoneticPr fontId="6"/>
  </si>
  <si>
    <t>Anti-Matter Power Generation</t>
    <phoneticPr fontId="6"/>
  </si>
  <si>
    <t>Wound Level at Damage</t>
  </si>
  <si>
    <t>NA</t>
  </si>
  <si>
    <t>Detect Trap</t>
  </si>
  <si>
    <t>Antigrav Tech</t>
  </si>
  <si>
    <t>Athletics</t>
    <phoneticPr fontId="6"/>
  </si>
  <si>
    <t>Heat Sight (Infravision)</t>
  </si>
  <si>
    <t>The character may perform minor feats that surprise people, such as appearing and disappearing at opportune times. The character may seem to be mysterious and a bit intimidating.</t>
  </si>
  <si>
    <t>Char Points Spent</t>
  </si>
  <si>
    <t>Culture</t>
  </si>
  <si>
    <t>Covert</t>
    <phoneticPr fontId="6"/>
  </si>
  <si>
    <t>Technical</t>
    <phoneticPr fontId="6"/>
  </si>
  <si>
    <t>Biotech</t>
    <phoneticPr fontId="6"/>
  </si>
  <si>
    <t>Guns</t>
    <phoneticPr fontId="14" type="noConversion"/>
  </si>
  <si>
    <t>Pistol .30 Borchardt</t>
  </si>
  <si>
    <t>Pistol .22 RF Magnum</t>
  </si>
  <si>
    <t>Distance Attack</t>
  </si>
  <si>
    <t>Carousing</t>
  </si>
  <si>
    <t>The standard arrow, reasonable armor penetration and damage</t>
  </si>
  <si>
    <t>Bribery</t>
  </si>
  <si>
    <t>Non-Lethal</t>
  </si>
  <si>
    <t>Species</t>
  </si>
  <si>
    <t>Archetype</t>
  </si>
  <si>
    <t>Medical</t>
    <phoneticPr fontId="14" type="noConversion"/>
  </si>
  <si>
    <t>Melee Weapons</t>
    <phoneticPr fontId="6"/>
  </si>
  <si>
    <t>0-5</t>
    <phoneticPr fontId="6"/>
  </si>
  <si>
    <t>Yes</t>
    <phoneticPr fontId="6"/>
  </si>
  <si>
    <t>Intelligence</t>
    <phoneticPr fontId="6"/>
  </si>
  <si>
    <t>Tri-D Holovision</t>
  </si>
  <si>
    <t>Radio</t>
  </si>
  <si>
    <t>Antigrav Vehicle</t>
  </si>
  <si>
    <t>Automobile (Wheeled)</t>
  </si>
  <si>
    <t>Naval Pilot</t>
    <phoneticPr fontId="6"/>
  </si>
  <si>
    <t>Athletics, General</t>
    <phoneticPr fontId="6"/>
  </si>
  <si>
    <t>Business, General</t>
    <phoneticPr fontId="6"/>
  </si>
  <si>
    <t>Initiative</t>
    <phoneticPr fontId="6"/>
  </si>
  <si>
    <t>Hardened Heavy Leather</t>
  </si>
  <si>
    <t>Tech 15 Blaster Rifle 5mm</t>
  </si>
  <si>
    <t>Armorer, Power Armor</t>
  </si>
  <si>
    <t>Engineering</t>
    <phoneticPr fontId="6"/>
  </si>
  <si>
    <t>Subspace Radio</t>
  </si>
  <si>
    <t>Melee Weapons</t>
    <phoneticPr fontId="14" type="noConversion"/>
  </si>
  <si>
    <t>Military</t>
    <phoneticPr fontId="6"/>
  </si>
  <si>
    <t>Power Generation, General</t>
    <phoneticPr fontId="6"/>
  </si>
  <si>
    <t>Presence</t>
    <phoneticPr fontId="6"/>
  </si>
  <si>
    <t>101-180</t>
    <phoneticPr fontId="6"/>
  </si>
  <si>
    <t>Covert</t>
    <phoneticPr fontId="6"/>
  </si>
  <si>
    <t>Rhetoric</t>
    <phoneticPr fontId="6"/>
  </si>
  <si>
    <t>Combat Defense W Block</t>
    <phoneticPr fontId="6"/>
  </si>
  <si>
    <t>Naval Pilot</t>
    <phoneticPr fontId="6"/>
  </si>
  <si>
    <t>Perception</t>
    <phoneticPr fontId="14" type="noConversion"/>
  </si>
  <si>
    <t>Pistol .22 Long Rifle</t>
  </si>
  <si>
    <t>Driver, Specify Vehicle</t>
    <phoneticPr fontId="6"/>
  </si>
  <si>
    <t>Social</t>
    <phoneticPr fontId="6"/>
  </si>
  <si>
    <t>Karma Earned</t>
  </si>
  <si>
    <t>12 Gauge Shotgun 4</t>
  </si>
  <si>
    <t>Detect Weapon</t>
  </si>
  <si>
    <t>Clerical Investment</t>
  </si>
  <si>
    <t>Direct Fire Cannon</t>
  </si>
  <si>
    <t>Projectile Weapons</t>
    <phoneticPr fontId="14" type="noConversion"/>
  </si>
  <si>
    <t>Hardened Leather</t>
  </si>
  <si>
    <t>Dodge</t>
  </si>
  <si>
    <t>Electrician, General</t>
    <phoneticPr fontId="6"/>
  </si>
  <si>
    <t>Engineering</t>
    <phoneticPr fontId="6"/>
  </si>
  <si>
    <t>Mechanical</t>
    <phoneticPr fontId="14" type="noConversion"/>
  </si>
  <si>
    <t>Aerostat Aircraft</t>
    <phoneticPr fontId="6"/>
  </si>
  <si>
    <t>Dice</t>
    <phoneticPr fontId="6"/>
  </si>
  <si>
    <t>Performance</t>
    <phoneticPr fontId="14" type="noConversion"/>
  </si>
  <si>
    <t>Animals, General</t>
    <phoneticPr fontId="6"/>
  </si>
  <si>
    <t>Exceptional Potential</t>
  </si>
  <si>
    <t>Tech 16 Blaster LMG 5mm</t>
  </si>
  <si>
    <t>Tech 16 Blaster MMG 5mm</t>
  </si>
  <si>
    <t>Tangle Pistol</t>
  </si>
  <si>
    <t>Zero G Maneuvers</t>
  </si>
  <si>
    <t>Liaison</t>
  </si>
  <si>
    <t>Pistol 9mm Makarov</t>
  </si>
  <si>
    <t>Battery 30</t>
  </si>
  <si>
    <t>Pistol .22 Long</t>
  </si>
  <si>
    <t>Tech 16 Laser Pistol 5mm</t>
  </si>
  <si>
    <t>Cyber Implant Combat</t>
  </si>
  <si>
    <t>Linguistics</t>
  </si>
  <si>
    <t>Literacy (Read &amp; Write)</t>
  </si>
  <si>
    <t>Presence</t>
    <phoneticPr fontId="6"/>
  </si>
  <si>
    <t>Math</t>
    <phoneticPr fontId="6"/>
  </si>
  <si>
    <t>Space Pilot</t>
    <phoneticPr fontId="6"/>
  </si>
  <si>
    <t>Melee Weapons</t>
    <phoneticPr fontId="6"/>
  </si>
  <si>
    <t>Energy Artillery Tech</t>
    <phoneticPr fontId="6"/>
  </si>
  <si>
    <t>Sabre</t>
  </si>
  <si>
    <t>Art</t>
    <phoneticPr fontId="6"/>
  </si>
  <si>
    <t>Heavy Weapons</t>
    <phoneticPr fontId="6"/>
  </si>
  <si>
    <t>Torture</t>
  </si>
  <si>
    <t>Tracking</t>
  </si>
  <si>
    <t>Trample</t>
  </si>
  <si>
    <t>Tech 17 Blaster HMG 5mm</t>
  </si>
  <si>
    <t xml:space="preserve"> hour</t>
  </si>
  <si>
    <t>Discipline</t>
    <phoneticPr fontId="6"/>
  </si>
  <si>
    <t>Pistol .44 Magnum</t>
  </si>
  <si>
    <t>Pistol .44 Special</t>
  </si>
  <si>
    <t>Computers, General</t>
    <phoneticPr fontId="6"/>
  </si>
  <si>
    <t>Computers</t>
    <phoneticPr fontId="6"/>
  </si>
  <si>
    <t>Fuel Production</t>
    <phoneticPr fontId="6"/>
  </si>
  <si>
    <t>Explosives, Complex</t>
  </si>
  <si>
    <t>Tech 16 Blaster Rifle 5mm</t>
  </si>
  <si>
    <t>Business</t>
    <phoneticPr fontId="6"/>
  </si>
  <si>
    <t>Empathy</t>
  </si>
  <si>
    <t>Enchanting</t>
  </si>
  <si>
    <t>Energy Cannon</t>
  </si>
  <si>
    <t>Engaging Banter</t>
  </si>
  <si>
    <t>Rifle, Beam</t>
  </si>
  <si>
    <t>Jorune</t>
  </si>
  <si>
    <t>Acubon</t>
  </si>
  <si>
    <t>Blount</t>
  </si>
  <si>
    <t>12 Gauge Shotgun 8</t>
  </si>
  <si>
    <t>Knowledge, General</t>
    <phoneticPr fontId="6"/>
  </si>
  <si>
    <t>Animals</t>
    <phoneticPr fontId="14" type="noConversion"/>
  </si>
  <si>
    <t>Jury-rigging</t>
    <phoneticPr fontId="6"/>
  </si>
  <si>
    <t>Medical, General</t>
    <phoneticPr fontId="6"/>
  </si>
  <si>
    <t>Melee Weapons, General</t>
    <phoneticPr fontId="6"/>
  </si>
  <si>
    <t>Evaluate/Appraise</t>
  </si>
  <si>
    <t>Rifle .222 Magnum</t>
  </si>
  <si>
    <t>Genetics</t>
  </si>
  <si>
    <t>Xenobotany</t>
  </si>
  <si>
    <t>Biology</t>
    <phoneticPr fontId="6"/>
  </si>
  <si>
    <t>Physics</t>
    <phoneticPr fontId="6"/>
  </si>
  <si>
    <t>Knife, Butcher</t>
  </si>
  <si>
    <t>Knife, Jack</t>
  </si>
  <si>
    <t>Knife, Khyber</t>
  </si>
  <si>
    <t>Leatherworking</t>
  </si>
  <si>
    <t>Legerdemain</t>
  </si>
  <si>
    <t>Ally</t>
  </si>
  <si>
    <t>Interplanetary Space Pilot</t>
    <phoneticPr fontId="6"/>
  </si>
  <si>
    <t>Orbital Space Pilot</t>
    <phoneticPr fontId="6"/>
  </si>
  <si>
    <t>Knowledge</t>
    <phoneticPr fontId="6"/>
  </si>
  <si>
    <t>Unarmed Combat</t>
    <phoneticPr fontId="6"/>
  </si>
  <si>
    <t>Acute Vision, Hearing</t>
  </si>
  <si>
    <t>Ion Rifle</t>
  </si>
  <si>
    <t>Heavy Weapons</t>
    <phoneticPr fontId="6"/>
  </si>
  <si>
    <t>Swamp  Folk</t>
  </si>
  <si>
    <t>Croid</t>
  </si>
  <si>
    <t>Crugar</t>
  </si>
  <si>
    <t>Muadra</t>
  </si>
  <si>
    <t>Urenen</t>
  </si>
  <si>
    <t>Athletics</t>
    <phoneticPr fontId="6"/>
  </si>
  <si>
    <t>Chemistry</t>
    <phoneticPr fontId="6"/>
  </si>
  <si>
    <t>Pygmy Folk</t>
  </si>
  <si>
    <t>Shen</t>
  </si>
  <si>
    <t>Medium Crossbow</t>
  </si>
  <si>
    <t>Heavy Crossbow</t>
  </si>
  <si>
    <t>6-30</t>
  </si>
  <si>
    <t>31-150</t>
  </si>
  <si>
    <t>Cartography</t>
  </si>
  <si>
    <t>Cast Net</t>
  </si>
  <si>
    <t>Occult Studies</t>
  </si>
  <si>
    <t>Chemistry</t>
    <phoneticPr fontId="6"/>
  </si>
  <si>
    <t>Math</t>
    <phoneticPr fontId="6"/>
  </si>
  <si>
    <t>Botany</t>
  </si>
  <si>
    <t>Ecology</t>
  </si>
  <si>
    <t>Alien Environment Vehicles Mechanic</t>
    <phoneticPr fontId="6"/>
  </si>
  <si>
    <t>Antigrav Vehicles Mechanic</t>
    <phoneticPr fontId="6"/>
  </si>
  <si>
    <t>Life Science</t>
    <phoneticPr fontId="6"/>
  </si>
  <si>
    <t>Thivin</t>
  </si>
  <si>
    <t>20 Gauge Shotgun 4 Buck</t>
  </si>
  <si>
    <t>20 Gauge Shotgun 2</t>
  </si>
  <si>
    <t>EVA</t>
  </si>
  <si>
    <t>Sociology</t>
  </si>
  <si>
    <t>Pistol .256 Magnum</t>
  </si>
  <si>
    <t>0-10</t>
  </si>
  <si>
    <t>11-80</t>
  </si>
  <si>
    <t>Spell or Special Damage</t>
  </si>
  <si>
    <t>Physical Defense</t>
  </si>
  <si>
    <t>Armor Vest</t>
  </si>
  <si>
    <t>Cinquedea</t>
  </si>
  <si>
    <t>0-20</t>
    <phoneticPr fontId="6"/>
  </si>
  <si>
    <t>The character is a member of the Clergy and receives the appropriate religious knowledge and status. Rank 1 is the lowest level of the type of clergy and additional ranks indicate higher levels in the clerical hierarchy. The character must have Faith at rank 2+ to take this advantage.</t>
  </si>
  <si>
    <t>Combat Reflexes</t>
  </si>
  <si>
    <t>The character receives +1 on reaction and initiative tests per rank.</t>
  </si>
  <si>
    <t>Combat Veteran</t>
  </si>
  <si>
    <t>Physics</t>
    <phoneticPr fontId="6"/>
  </si>
  <si>
    <t>Hovercraft</t>
  </si>
  <si>
    <t>All Terrain Vehicle</t>
  </si>
  <si>
    <t>Farming, Advanced</t>
  </si>
  <si>
    <t>Telegraph</t>
  </si>
  <si>
    <t>Telephone</t>
  </si>
  <si>
    <t>Television</t>
  </si>
  <si>
    <t>Art</t>
    <phoneticPr fontId="14" type="noConversion"/>
  </si>
  <si>
    <t>Heavy Weapon, Type BZ MG</t>
  </si>
  <si>
    <t>Attribute</t>
    <phoneticPr fontId="6"/>
  </si>
  <si>
    <t>Circle Rank</t>
    <phoneticPr fontId="6"/>
  </si>
  <si>
    <t>10 Gauge Shotgun 4</t>
  </si>
  <si>
    <t>Rifle .223 Remington</t>
  </si>
  <si>
    <t>Bayonet</t>
  </si>
  <si>
    <t>Beam Artillery</t>
  </si>
  <si>
    <t>10 Gauge Shotgun 3 Buck</t>
  </si>
  <si>
    <t>SMG M1928A1 Thompson</t>
  </si>
  <si>
    <t>Muzzle Loading Artillery</t>
    <phoneticPr fontId="6"/>
  </si>
  <si>
    <t>16 Gauge Shotgun 8</t>
  </si>
  <si>
    <t>Boomerang</t>
  </si>
  <si>
    <t xml:space="preserve">Buckler </t>
  </si>
  <si>
    <t>Fuel Production, General</t>
    <phoneticPr fontId="6"/>
  </si>
  <si>
    <t>The character receives a +3 bonus to his mental resistance on opponents’ tests attempting to control or influence the character, including through magic/psychic abilities.</t>
  </si>
  <si>
    <t>Tech 17 Blaster LMG 5mm</t>
  </si>
  <si>
    <t>12 Gauge Shotgun 2</t>
  </si>
  <si>
    <t>Pistol .44-40</t>
  </si>
  <si>
    <t>Stat:</t>
  </si>
  <si>
    <t xml:space="preserve"> min</t>
  </si>
  <si>
    <t>Fishing</t>
  </si>
  <si>
    <t>Heavy Form-Fitting Body Armor</t>
  </si>
  <si>
    <t>Silent Kill</t>
  </si>
  <si>
    <t>Sling</t>
  </si>
  <si>
    <t>Cannot penetrate hardened armor (value greater than 4)</t>
  </si>
  <si>
    <t>Length</t>
  </si>
  <si>
    <t>Pistol, Automatic</t>
  </si>
  <si>
    <t>Sling Stone</t>
  </si>
  <si>
    <t>Tanto</t>
  </si>
  <si>
    <t>Rifle .300 Winchester Magnum</t>
  </si>
  <si>
    <t>Social</t>
    <phoneticPr fontId="6"/>
  </si>
  <si>
    <t>Working Life, General</t>
    <phoneticPr fontId="6"/>
  </si>
  <si>
    <t>Working Life</t>
    <phoneticPr fontId="6"/>
  </si>
  <si>
    <t>Robotics</t>
  </si>
  <si>
    <t>Sling Bullet</t>
  </si>
  <si>
    <t>Aerial Recon Interpretation</t>
  </si>
  <si>
    <t>Animal Riding</t>
  </si>
  <si>
    <t>Rifle .50 Spotter-tracer</t>
  </si>
  <si>
    <t>Handicraft</t>
  </si>
  <si>
    <t>Melee Weapons, General</t>
    <phoneticPr fontId="6"/>
  </si>
  <si>
    <t>Willpower</t>
    <phoneticPr fontId="6"/>
  </si>
  <si>
    <t>Discipline</t>
    <phoneticPr fontId="14" type="noConversion"/>
  </si>
  <si>
    <t>Initiative</t>
    <phoneticPr fontId="6"/>
  </si>
  <si>
    <t>Tech 16 Laser Rifle 5mm</t>
  </si>
  <si>
    <t>Pistol .41 Magnum</t>
  </si>
  <si>
    <t>Cleash</t>
  </si>
  <si>
    <t>Tech 16 Laser Assault Rifle 5mm</t>
  </si>
  <si>
    <t>20 Gauge Shotgun 8</t>
  </si>
  <si>
    <t>Driver</t>
    <phoneticPr fontId="6"/>
  </si>
  <si>
    <t>Driver</t>
    <phoneticPr fontId="6"/>
  </si>
  <si>
    <t>Dexterity</t>
    <phoneticPr fontId="6"/>
  </si>
  <si>
    <t>Chemistry</t>
    <phoneticPr fontId="6"/>
  </si>
  <si>
    <t>Tech 16 Laser HMG 10mm</t>
  </si>
  <si>
    <t>The character has an "ally" of some sort. The GM will use the ally’s resources and ability to help the character to determine the cost. A friend with no wealth, influence, or combat ability would cost 2 points, whereas a wealthy, influential friend would cost 10 or more. This advantage may be purchased multiple times to represent additional allies.</t>
  </si>
  <si>
    <t>Ambidextrous</t>
  </si>
  <si>
    <t>Communications</t>
    <phoneticPr fontId="6"/>
  </si>
  <si>
    <t>Power Generation</t>
    <phoneticPr fontId="6"/>
  </si>
  <si>
    <t>Farming, Hydroponics</t>
  </si>
  <si>
    <t>Belt 100</t>
  </si>
  <si>
    <t>16 Gauge Shotgun Slug</t>
  </si>
  <si>
    <t>Gorn</t>
  </si>
  <si>
    <t>Pistol 7.62 Czech</t>
  </si>
  <si>
    <t>Rockman</t>
  </si>
  <si>
    <t>Enigmas (Puzzle Solving)</t>
  </si>
  <si>
    <t>Finance</t>
  </si>
  <si>
    <t>Ring Mail (Bronze)</t>
  </si>
  <si>
    <t>Pistol .38 Special</t>
  </si>
  <si>
    <t>Pe Choi</t>
  </si>
  <si>
    <t>Electronics</t>
  </si>
  <si>
    <t>Footman's Shield</t>
  </si>
  <si>
    <t>Caitian</t>
  </si>
  <si>
    <t>Screen Technology</t>
  </si>
  <si>
    <t>Screens, Force</t>
  </si>
  <si>
    <t>Naval Pilot, General</t>
    <phoneticPr fontId="6"/>
  </si>
  <si>
    <t>Perception, General</t>
    <phoneticPr fontId="6"/>
  </si>
  <si>
    <t>Pilot</t>
    <phoneticPr fontId="14" type="noConversion"/>
  </si>
  <si>
    <t>Ships Boat Space Pilot</t>
    <phoneticPr fontId="6"/>
  </si>
  <si>
    <t>Space Pilot</t>
    <phoneticPr fontId="6"/>
  </si>
  <si>
    <t>Pistol .357 Magnum</t>
  </si>
  <si>
    <t>Pistol .38 Long</t>
  </si>
  <si>
    <t>Pistol .38 Short</t>
  </si>
  <si>
    <t>Reinforced Ballistic Leathers</t>
  </si>
  <si>
    <t>Rifle, Bolt or Lever</t>
  </si>
  <si>
    <t>Search</t>
  </si>
  <si>
    <t>Tech 17 Blaster Assault Rifle 5mm</t>
  </si>
  <si>
    <t>Rifle .222</t>
  </si>
  <si>
    <t>Notes</t>
  </si>
  <si>
    <t>Weaponsmithing</t>
  </si>
  <si>
    <t>War Arrow</t>
  </si>
  <si>
    <t>Enter the cost of each advantage and disadvantage take in the yellow column next to them</t>
  </si>
  <si>
    <t>Seduction</t>
  </si>
  <si>
    <t>Sensors</t>
  </si>
  <si>
    <t>Shadowing</t>
  </si>
  <si>
    <t>Big Game Rifle</t>
  </si>
  <si>
    <t>Handloading</t>
  </si>
  <si>
    <t>Mihalli</t>
  </si>
  <si>
    <t>Pistol .45 ACP</t>
  </si>
  <si>
    <t>Pistol .45 Colt</t>
  </si>
  <si>
    <t>Archaic Artillery Tech</t>
    <phoneticPr fontId="6"/>
  </si>
  <si>
    <t>General Equipment Mechanic</t>
    <phoneticPr fontId="6"/>
  </si>
  <si>
    <t>Ground Vehicles Mechanic</t>
    <phoneticPr fontId="6"/>
  </si>
  <si>
    <t>Bicycle Riding</t>
  </si>
  <si>
    <t>Heavy Weapon, .50 Browning MG</t>
  </si>
  <si>
    <t>Metal Machining</t>
  </si>
  <si>
    <t>BP Rifle .45 Caliber</t>
  </si>
  <si>
    <t>Shantha</t>
  </si>
  <si>
    <t>Defensive Values</t>
  </si>
  <si>
    <t>Base Defense</t>
  </si>
  <si>
    <t>Warclub</t>
  </si>
  <si>
    <t>20 Gauge Shotgun 4</t>
  </si>
  <si>
    <t>Impulse Tech</t>
  </si>
  <si>
    <t>Pistol .25 ACP .25 Auto</t>
  </si>
  <si>
    <t>Naval Ship Tactics</t>
  </si>
  <si>
    <t>Bolt 8</t>
  </si>
  <si>
    <t>Lever 8</t>
  </si>
  <si>
    <t>Break 2</t>
  </si>
  <si>
    <t>Missile Parry</t>
  </si>
  <si>
    <t>Long Range</t>
  </si>
  <si>
    <t>Tech 14 Laser Rifle 5mm</t>
  </si>
  <si>
    <t>Alternate Identity</t>
  </si>
  <si>
    <t>Rifle .50 Barrett Sniper</t>
    <phoneticPr fontId="6"/>
  </si>
  <si>
    <t>Auto 10</t>
    <phoneticPr fontId="6"/>
  </si>
  <si>
    <t>121-150</t>
  </si>
  <si>
    <t>Technical</t>
    <phoneticPr fontId="6"/>
  </si>
  <si>
    <t>Covert</t>
    <phoneticPr fontId="6"/>
  </si>
  <si>
    <t>Vest With Plates</t>
  </si>
  <si>
    <t>Rifle .30-30</t>
  </si>
  <si>
    <t>Rifle .32-30</t>
  </si>
  <si>
    <t>Rifle .338 Magnum</t>
  </si>
  <si>
    <t>Rifle .350 Magnum</t>
  </si>
  <si>
    <t>Pack 50</t>
  </si>
  <si>
    <t>Fusion MG</t>
  </si>
  <si>
    <t>Air of Mystery</t>
  </si>
  <si>
    <t>Heavy Weapon, Type BS-41 MG</t>
  </si>
  <si>
    <t>Auto 8</t>
  </si>
  <si>
    <t>Pistol 8mm Nambu</t>
  </si>
  <si>
    <t>Rifle .38-40</t>
  </si>
  <si>
    <t>Fuel Production</t>
    <phoneticPr fontId="6"/>
  </si>
  <si>
    <t>Math</t>
    <phoneticPr fontId="6"/>
  </si>
  <si>
    <t>Physical Resistance</t>
    <phoneticPr fontId="6"/>
  </si>
  <si>
    <t>Mental Resistance</t>
    <phoneticPr fontId="6"/>
  </si>
  <si>
    <t>None</t>
    <phoneticPr fontId="6"/>
  </si>
  <si>
    <t>Pistol .30 Mauser 7.63 Mauser</t>
  </si>
  <si>
    <t>Pistol .45 Long Colt</t>
  </si>
  <si>
    <t>Heavy Equipment (Specify Wheeled or ATV)</t>
  </si>
  <si>
    <t>Rehabilitation Therapy</t>
    <phoneticPr fontId="6"/>
  </si>
  <si>
    <t>Propulsion Tech</t>
    <phoneticPr fontId="6"/>
  </si>
  <si>
    <t>Biology, General</t>
    <phoneticPr fontId="6"/>
  </si>
  <si>
    <t>Biology</t>
    <phoneticPr fontId="6"/>
  </si>
  <si>
    <t>16-45</t>
    <phoneticPr fontId="6"/>
  </si>
  <si>
    <t>46-100</t>
    <phoneticPr fontId="6"/>
  </si>
  <si>
    <t>Earth Science</t>
    <phoneticPr fontId="6"/>
  </si>
  <si>
    <t>Physics</t>
    <phoneticPr fontId="6"/>
  </si>
  <si>
    <t>Mechanical, General</t>
    <phoneticPr fontId="6"/>
  </si>
  <si>
    <t>Naval Craft Mechanic</t>
    <phoneticPr fontId="6"/>
  </si>
  <si>
    <t>Magic/Psychic</t>
    <phoneticPr fontId="6"/>
  </si>
  <si>
    <t>Knowledge</t>
    <phoneticPr fontId="6"/>
  </si>
  <si>
    <t>10 Gauge Shotgun 4 Buck</t>
  </si>
  <si>
    <t>10 Gauge Shotgun 2</t>
  </si>
  <si>
    <t>Survival</t>
    <phoneticPr fontId="14" type="noConversion"/>
  </si>
  <si>
    <t>Tech 16 Blaster Assault Rifle 5mm</t>
  </si>
  <si>
    <t>Med Form-Fitting Body Armor</t>
  </si>
  <si>
    <t>Quick Draw</t>
  </si>
  <si>
    <t>Kafer</t>
  </si>
  <si>
    <t>Klaxun</t>
  </si>
  <si>
    <t>Eber</t>
  </si>
  <si>
    <t>Knife, Switchblade</t>
  </si>
  <si>
    <t>Literature</t>
  </si>
  <si>
    <t>Threat Rating</t>
  </si>
  <si>
    <t>Animals</t>
    <phoneticPr fontId="6"/>
  </si>
  <si>
    <t>Technical</t>
    <phoneticPr fontId="6"/>
  </si>
  <si>
    <t>Survival</t>
    <phoneticPr fontId="6"/>
  </si>
  <si>
    <t xml:space="preserve">Weaving/Spinning </t>
  </si>
  <si>
    <t>Whips</t>
  </si>
  <si>
    <t>Wilderness Survival</t>
  </si>
  <si>
    <t>Total Points</t>
  </si>
  <si>
    <t>Whip</t>
  </si>
  <si>
    <t>Interview</t>
  </si>
  <si>
    <t>151-450</t>
  </si>
  <si>
    <t>Spaceship Fleet Tactics</t>
  </si>
  <si>
    <t>Additional Skills</t>
  </si>
  <si>
    <t>Recruiting</t>
  </si>
  <si>
    <t>Tech 15 Laser Assault Rifle 5mm</t>
  </si>
  <si>
    <t>Academics</t>
  </si>
  <si>
    <t>Camouflage</t>
  </si>
  <si>
    <t>Math, Trigonometry</t>
  </si>
  <si>
    <t>Tetsubo</t>
  </si>
  <si>
    <t>MMG</t>
  </si>
  <si>
    <t>41-150</t>
  </si>
  <si>
    <t>301-500</t>
  </si>
  <si>
    <t>Chain</t>
  </si>
  <si>
    <t>Tonfa</t>
  </si>
  <si>
    <t>Research</t>
  </si>
  <si>
    <t>Knife, Throwing</t>
  </si>
  <si>
    <t>Bargain/Haggle</t>
  </si>
  <si>
    <t>Deathspite</t>
  </si>
  <si>
    <t>Control Birds</t>
  </si>
  <si>
    <t>Fast-talk</t>
  </si>
  <si>
    <t>Fence</t>
  </si>
  <si>
    <t>Rifle .50-140 Sharps</t>
  </si>
  <si>
    <t>Rider's Shield</t>
  </si>
  <si>
    <t>Shotgun</t>
  </si>
  <si>
    <t>Droyne</t>
  </si>
  <si>
    <t>Running</t>
  </si>
  <si>
    <t>Combat</t>
  </si>
  <si>
    <t>Tech 16 Laser Carbine 5mm</t>
  </si>
  <si>
    <t>Fast Hand</t>
  </si>
  <si>
    <t>Nightvision</t>
  </si>
  <si>
    <t>Tech 15 Blaster LMG 5mm</t>
  </si>
  <si>
    <t>Heavy Pistol</t>
  </si>
  <si>
    <t>21-40</t>
  </si>
  <si>
    <t>Glaive</t>
  </si>
  <si>
    <t>20 Gauge Shotgun 9</t>
  </si>
  <si>
    <t>SMG Schmeiser</t>
  </si>
  <si>
    <t>Tech 15 Blaster Assault Rifle 5mm</t>
  </si>
  <si>
    <t>Detection Systems Electrician</t>
    <phoneticPr fontId="6"/>
  </si>
  <si>
    <t>Back-off</t>
  </si>
  <si>
    <t>Pistol</t>
  </si>
  <si>
    <t>Safecracking</t>
  </si>
  <si>
    <t>Sai</t>
  </si>
  <si>
    <t>Armorer, Armor</t>
  </si>
  <si>
    <t>Animal Training</t>
  </si>
  <si>
    <t>41-60</t>
  </si>
  <si>
    <t>SMG</t>
  </si>
  <si>
    <t>0-4</t>
  </si>
  <si>
    <t>41-80</t>
  </si>
  <si>
    <t>Nutrition</t>
    <phoneticPr fontId="6"/>
  </si>
  <si>
    <t>Chains</t>
    <phoneticPr fontId="6"/>
  </si>
  <si>
    <t>Trap Setting/Removal</t>
  </si>
  <si>
    <t>The character receives a bonus of +2 per rank on Attitude/reaction tests to appropriate persons. The advantage is only usable with a clearly defined group, such as space pilots, physics scientists, etc.)</t>
  </si>
  <si>
    <t>Guardian Angel</t>
  </si>
  <si>
    <t>Communications</t>
    <phoneticPr fontId="6"/>
  </si>
  <si>
    <t>Magic/Psychic</t>
    <phoneticPr fontId="6"/>
  </si>
  <si>
    <t>Knowledge</t>
    <phoneticPr fontId="14" type="noConversion"/>
  </si>
  <si>
    <t>Black Ssu</t>
  </si>
  <si>
    <t>Slingshot</t>
  </si>
  <si>
    <t>Ithklur</t>
  </si>
  <si>
    <t>The character is of noble descent and adds the rank as a bonus to social skill tests (although, this may be a penalty depending on the attitude(s) of the person(s) interacted with). Alternatively, see the Social Standing rules below. The character must also take High Social Standing at rank 8 in order to take any ranks in Blue Blood.</t>
  </si>
  <si>
    <t>Scuba Diving</t>
  </si>
  <si>
    <t>Assault Cannon</t>
  </si>
  <si>
    <t>Willpower</t>
  </si>
  <si>
    <t>Attribute Total Points</t>
  </si>
  <si>
    <t>Skills Front</t>
  </si>
  <si>
    <t>Naval Fleet Tactics</t>
  </si>
  <si>
    <t>2D6</t>
  </si>
  <si>
    <t>Taunt</t>
  </si>
  <si>
    <t>Theater</t>
  </si>
  <si>
    <t>Vacc Suit</t>
  </si>
  <si>
    <t>Mace</t>
  </si>
  <si>
    <t>Two-Hand Sword</t>
  </si>
  <si>
    <t>Athletics</t>
    <phoneticPr fontId="6"/>
  </si>
  <si>
    <t>Paleontology</t>
  </si>
  <si>
    <t>Knife, Kukri</t>
  </si>
  <si>
    <t>Machete</t>
  </si>
  <si>
    <t>Main Gauche</t>
  </si>
  <si>
    <t>Damage Adjust</t>
  </si>
  <si>
    <t>16-30</t>
  </si>
  <si>
    <t>Mobile Infantry/Powered Armor</t>
  </si>
  <si>
    <t>Full Auto 30</t>
  </si>
  <si>
    <t>Bolt 1</t>
  </si>
  <si>
    <t>Pistol .380 ACP 9mm short</t>
  </si>
  <si>
    <t>Tech 16 Laser Pistol 3mm</t>
  </si>
  <si>
    <t>Gauss Pistol 1mm</t>
  </si>
  <si>
    <t>1 Shot</t>
  </si>
  <si>
    <t>Gauss Technology</t>
  </si>
  <si>
    <t>Hacking</t>
  </si>
  <si>
    <t>Hand Axe</t>
  </si>
  <si>
    <t>Rifle 7.62 NATO .308 Win</t>
  </si>
  <si>
    <t>Power Generation</t>
    <phoneticPr fontId="6"/>
  </si>
  <si>
    <t>Rifle .257 magnum</t>
  </si>
  <si>
    <t>Pistol .455 Webley</t>
  </si>
  <si>
    <t>Shunned One</t>
  </si>
  <si>
    <t>Rifle .303 British</t>
  </si>
  <si>
    <t>Sledge Hammer</t>
  </si>
  <si>
    <t>Tech 18 Blaster MMG 5mm</t>
  </si>
  <si>
    <t>Missile Launcher (Hand-held)</t>
  </si>
  <si>
    <t>Heavy Security Armor</t>
  </si>
  <si>
    <t>Light Military Armor</t>
  </si>
  <si>
    <t>Military Science, Tactics</t>
  </si>
  <si>
    <t>Carpentry</t>
  </si>
  <si>
    <t>Light Crossbow</t>
  </si>
  <si>
    <t>Breech Load Artillery/Howitzers</t>
  </si>
  <si>
    <t>Vibro-Knife</t>
  </si>
  <si>
    <t>D+</t>
  </si>
  <si>
    <t>Short Range</t>
  </si>
  <si>
    <t>Contortion</t>
    <phoneticPr fontId="6"/>
  </si>
  <si>
    <t>Agility</t>
    <phoneticPr fontId="6"/>
  </si>
  <si>
    <t>81-120</t>
  </si>
  <si>
    <t>The character receives a +1 bonus per rank on Perception tests based on hearing.</t>
  </si>
  <si>
    <t>Acute Taste &amp; Smell</t>
  </si>
  <si>
    <t>The character receives a ++1 bonus per rank on Perception tests based on taste and/or smell.</t>
  </si>
  <si>
    <t>Acute Vision</t>
  </si>
  <si>
    <t>Point Blank</t>
  </si>
  <si>
    <t>Moderate</t>
  </si>
  <si>
    <t>Concealment</t>
  </si>
  <si>
    <t>Severe</t>
  </si>
  <si>
    <t>Critical</t>
  </si>
  <si>
    <t>Blowgun</t>
  </si>
  <si>
    <t>Melee Weapons</t>
  </si>
  <si>
    <t>Tech 15 Laser Pistol 3mm</t>
  </si>
  <si>
    <t>Knife, Trench</t>
  </si>
  <si>
    <t>Paralysis Rod</t>
  </si>
  <si>
    <t>Light Sword</t>
  </si>
  <si>
    <t>Heavy Military Armor</t>
  </si>
  <si>
    <t>Hands</t>
  </si>
  <si>
    <t>Feet</t>
  </si>
  <si>
    <t>Mimic Voice</t>
  </si>
  <si>
    <t>12 Gauge Shotgun 3 Buck</t>
  </si>
  <si>
    <t>Composite Bow</t>
  </si>
  <si>
    <t>Tomahawk</t>
  </si>
  <si>
    <t>Tulwar</t>
  </si>
  <si>
    <t>Two Hand Sword</t>
  </si>
  <si>
    <t>Brawling</t>
  </si>
  <si>
    <t>BP Rifle .70 caliber</t>
  </si>
  <si>
    <t>Spacecraft Mechanic</t>
    <phoneticPr fontId="6"/>
  </si>
  <si>
    <t>Club</t>
  </si>
  <si>
    <t>Claymore</t>
  </si>
  <si>
    <t>Fixed Wing Aircraft</t>
    <phoneticPr fontId="6"/>
  </si>
  <si>
    <t>Glider Aircraft</t>
    <phoneticPr fontId="6"/>
  </si>
  <si>
    <t>The character receives +3 to all disease resistance tests</t>
  </si>
  <si>
    <t>Double Jointed</t>
  </si>
  <si>
    <t>The character receives a +3 bonus to tests where this would be an advantage, primarily in escape tests.</t>
  </si>
  <si>
    <t>Eidetic Memory</t>
  </si>
  <si>
    <t>Dentistry</t>
    <phoneticPr fontId="6"/>
  </si>
  <si>
    <t>Distance Weapons</t>
  </si>
  <si>
    <t>Dancing</t>
    <phoneticPr fontId="6"/>
  </si>
  <si>
    <t>Mimic Animal Calls</t>
    <phoneticPr fontId="6"/>
  </si>
  <si>
    <t>Heavy Cloth</t>
  </si>
  <si>
    <t>Fame Level</t>
  </si>
  <si>
    <t>Gauss Pistol 3mm</t>
  </si>
  <si>
    <t>11-50</t>
  </si>
  <si>
    <t>51-100</t>
  </si>
  <si>
    <t>Spaceship Ship Tactics</t>
  </si>
  <si>
    <t>251-500</t>
  </si>
  <si>
    <t>Economics</t>
  </si>
  <si>
    <t>Hunting Arror</t>
  </si>
  <si>
    <t>Earth Science</t>
    <phoneticPr fontId="6"/>
  </si>
  <si>
    <t>Naval Architect</t>
  </si>
  <si>
    <t>Auto 10</t>
  </si>
  <si>
    <t>Battery 5</t>
  </si>
  <si>
    <t>Survival, General</t>
    <phoneticPr fontId="6"/>
  </si>
  <si>
    <t>Depletion Points:</t>
  </si>
  <si>
    <t>28 Gauge Shotgun 5</t>
  </si>
  <si>
    <t>28 Gauge Shotgun 6</t>
  </si>
  <si>
    <t>Earth Science</t>
    <phoneticPr fontId="6"/>
  </si>
  <si>
    <t>Electrician</t>
    <phoneticPr fontId="6"/>
  </si>
  <si>
    <t>Tech 17 Laser LMG 5mm</t>
  </si>
  <si>
    <t>Tech 17 Laser MMG 7mm</t>
  </si>
  <si>
    <t>Broadsword</t>
  </si>
  <si>
    <t>Tech 15 Laser Carbine 5mm</t>
  </si>
  <si>
    <t>Culture, Comparative</t>
  </si>
  <si>
    <t>Cryptography</t>
  </si>
  <si>
    <t>Naginata</t>
  </si>
  <si>
    <t>Scaled Hide</t>
  </si>
  <si>
    <t>Alien Environment</t>
  </si>
  <si>
    <t>Sidlean</t>
  </si>
  <si>
    <t>Transporter Operations</t>
  </si>
  <si>
    <t>Tech 14 Laser Pistol 3mm</t>
  </si>
  <si>
    <t>Awareness</t>
  </si>
  <si>
    <t>Tech 17 Blaster MMG 5mm</t>
  </si>
  <si>
    <t>Pack 200</t>
  </si>
  <si>
    <t>Pack 150</t>
  </si>
  <si>
    <t>Spellcasting</t>
  </si>
  <si>
    <t>Pitch Fork</t>
  </si>
  <si>
    <t>Rifle 4.85 British XP</t>
  </si>
  <si>
    <t>Rifle 5.45 Russian</t>
  </si>
  <si>
    <t>Rifle 6.5mm Magnum</t>
  </si>
  <si>
    <t>Rifle .45-70</t>
  </si>
  <si>
    <t>Disable Devices</t>
    <phoneticPr fontId="6"/>
  </si>
  <si>
    <t>Astronomy</t>
  </si>
  <si>
    <t>First Aid</t>
  </si>
  <si>
    <t>Spell/Psychic Defense</t>
    <phoneticPr fontId="6"/>
  </si>
  <si>
    <t>Tech 18 Blaster Assault Rifle 5mm</t>
  </si>
  <si>
    <t>Tech 18 Blaster LMG 5mm</t>
  </si>
  <si>
    <t>Winged Folk</t>
  </si>
  <si>
    <t>Practice arrow, cannot penetrate hardened armor (value greater than 5)</t>
  </si>
  <si>
    <t>Armor Piercing Arrow</t>
  </si>
  <si>
    <t>Trick Riding</t>
  </si>
  <si>
    <t>Weapon</t>
  </si>
  <si>
    <t>Axe, Battle</t>
  </si>
  <si>
    <t>Axe, Fire</t>
  </si>
  <si>
    <t>Axe, Hatchet</t>
  </si>
  <si>
    <t>81-200</t>
  </si>
  <si>
    <t>201-400</t>
  </si>
  <si>
    <t>16 Gauge Shotgun 2 Buck</t>
  </si>
  <si>
    <t xml:space="preserve"> sec</t>
  </si>
  <si>
    <t>Skill</t>
  </si>
  <si>
    <t>Fit In</t>
  </si>
  <si>
    <t>41-100</t>
  </si>
  <si>
    <t>101-250</t>
  </si>
  <si>
    <t>16 Gauge Shotgun 3 Buck</t>
  </si>
  <si>
    <t>Flirting</t>
  </si>
  <si>
    <t>Fusion Gun</t>
  </si>
  <si>
    <t>Rifle 6mm</t>
  </si>
  <si>
    <t>Forgery</t>
  </si>
  <si>
    <t>451-1300</t>
  </si>
  <si>
    <t>Subterfuge</t>
  </si>
  <si>
    <t>Summoning</t>
  </si>
  <si>
    <t>Surveillance</t>
  </si>
  <si>
    <t>Survey</t>
  </si>
  <si>
    <t>Communications, General</t>
    <phoneticPr fontId="6"/>
  </si>
  <si>
    <t>Communications</t>
    <phoneticPr fontId="6"/>
  </si>
  <si>
    <t>Electric Power Generation</t>
    <phoneticPr fontId="6"/>
  </si>
  <si>
    <t>Nuclear Power Generation</t>
    <phoneticPr fontId="6"/>
  </si>
  <si>
    <t>Portable Generators Power Generation</t>
    <phoneticPr fontId="6"/>
  </si>
  <si>
    <t>Warp/Hyper Drive Tech</t>
    <phoneticPr fontId="6"/>
  </si>
  <si>
    <t>Guns</t>
    <phoneticPr fontId="6"/>
  </si>
  <si>
    <t>Unarmed Combat</t>
    <phoneticPr fontId="6"/>
  </si>
  <si>
    <t>Technical</t>
  </si>
  <si>
    <t>Technical</t>
    <phoneticPr fontId="14" type="noConversion"/>
  </si>
  <si>
    <t>Unarmed Combat</t>
    <phoneticPr fontId="14" type="noConversion"/>
  </si>
  <si>
    <t>Quarterstaff</t>
  </si>
  <si>
    <t>Catlike Agility</t>
  </si>
  <si>
    <t>The character receives a +2 bonus on climbing and balance tests.</t>
  </si>
  <si>
    <t>Centered</t>
  </si>
  <si>
    <t>Computers</t>
    <phoneticPr fontId="6"/>
  </si>
  <si>
    <t>Blacksmithing</t>
  </si>
  <si>
    <t>Solar Power Generation</t>
    <phoneticPr fontId="6"/>
  </si>
  <si>
    <t>Propulsion Tech</t>
    <phoneticPr fontId="6"/>
  </si>
  <si>
    <t>Missile Artillery Tech</t>
    <phoneticPr fontId="6"/>
  </si>
  <si>
    <t>Primitive Siege Engine Tech</t>
    <phoneticPr fontId="6"/>
  </si>
  <si>
    <t>Hydride Fuel Production</t>
  </si>
  <si>
    <t>Psychology</t>
  </si>
  <si>
    <t>Tech 17 Blaster Carbine 5mm</t>
  </si>
  <si>
    <t>Rifle .45 Martini</t>
  </si>
  <si>
    <t>Magic/Psychic</t>
    <phoneticPr fontId="6"/>
  </si>
  <si>
    <t>Corastin</t>
  </si>
  <si>
    <t>Rifle 7.5mm MAS</t>
  </si>
  <si>
    <t>Rifle .30-06</t>
  </si>
  <si>
    <t>Chain Mail (Steel)</t>
  </si>
  <si>
    <t>Plate Mail (Bronze)</t>
  </si>
  <si>
    <t>Math, Algebra</t>
    <phoneticPr fontId="6"/>
  </si>
  <si>
    <t>Rifle .264 Magnum</t>
  </si>
  <si>
    <t>Rifle .270</t>
  </si>
  <si>
    <t>Literacy</t>
  </si>
  <si>
    <t>Endurance Skill</t>
  </si>
  <si>
    <t>401-800</t>
  </si>
  <si>
    <t>Intuition/Psychic Talent</t>
  </si>
  <si>
    <t xml:space="preserve">  Age:</t>
  </si>
  <si>
    <t>Distance Damage</t>
  </si>
  <si>
    <t>Broker</t>
  </si>
  <si>
    <t>Metal Casting</t>
  </si>
  <si>
    <t>Shortbow</t>
  </si>
  <si>
    <t>Perception</t>
    <phoneticPr fontId="6"/>
  </si>
  <si>
    <t>Intelligence</t>
    <phoneticPr fontId="6"/>
  </si>
  <si>
    <t>Singing</t>
    <phoneticPr fontId="6"/>
  </si>
  <si>
    <t>None</t>
    <phoneticPr fontId="6"/>
  </si>
  <si>
    <t>Animals</t>
    <phoneticPr fontId="6"/>
  </si>
  <si>
    <t>Performance</t>
    <phoneticPr fontId="6"/>
  </si>
  <si>
    <t>Knife, Belt</t>
  </si>
  <si>
    <t>Armaments Engineering</t>
    <phoneticPr fontId="6"/>
  </si>
  <si>
    <t>Individual Sport</t>
    <phoneticPr fontId="6"/>
  </si>
  <si>
    <t>Unarmed Combat</t>
    <phoneticPr fontId="6"/>
  </si>
  <si>
    <t>Perception</t>
    <phoneticPr fontId="6"/>
  </si>
  <si>
    <t>Counterfeiting</t>
  </si>
  <si>
    <t>Politics</t>
  </si>
  <si>
    <t>Body Shield</t>
  </si>
  <si>
    <t>D</t>
  </si>
  <si>
    <t>Riot Shield, Small</t>
  </si>
  <si>
    <t>Power Transfer, Beam</t>
  </si>
  <si>
    <t>Power Transfer, Line</t>
  </si>
  <si>
    <t>Tech 16 Laser LMG 5mm</t>
  </si>
  <si>
    <t>Tech 16 Laser MMG 7mm</t>
  </si>
  <si>
    <t>Ammo</t>
  </si>
  <si>
    <t>Mortal</t>
  </si>
  <si>
    <t>Dead</t>
  </si>
  <si>
    <t>Damage Monitor</t>
  </si>
  <si>
    <t>Computer Technician</t>
  </si>
  <si>
    <t>Neuronic Whip</t>
  </si>
  <si>
    <t>301-400</t>
  </si>
  <si>
    <t>Pistol, Revolver</t>
  </si>
  <si>
    <t>Planetology</t>
  </si>
  <si>
    <t>Plasma Gun</t>
  </si>
  <si>
    <t>Plastics Forming</t>
  </si>
  <si>
    <t>&lt;25% is -1</t>
  </si>
  <si>
    <t>Spear (two hands)</t>
  </si>
  <si>
    <t>12 Gauge Shotgun 2 Buck</t>
  </si>
  <si>
    <t>Battery 10</t>
  </si>
  <si>
    <t>Rifle .25-35</t>
  </si>
  <si>
    <t>Armor Jacket</t>
  </si>
  <si>
    <t>12 Gauge Shotgun 1 Buck</t>
  </si>
  <si>
    <t>Damage</t>
  </si>
  <si>
    <t>Impact</t>
  </si>
  <si>
    <t>Blaster Technology</t>
  </si>
  <si>
    <t>Gunnery</t>
    <phoneticPr fontId="6"/>
  </si>
  <si>
    <t>Machine Guns</t>
    <phoneticPr fontId="6"/>
  </si>
  <si>
    <t>Aircraft Mechanic</t>
    <phoneticPr fontId="6"/>
  </si>
  <si>
    <t>Chemistry</t>
    <phoneticPr fontId="6"/>
  </si>
  <si>
    <t>Electrician</t>
    <phoneticPr fontId="6"/>
  </si>
  <si>
    <t>Engineering</t>
    <phoneticPr fontId="6"/>
  </si>
  <si>
    <t>Melee Weapons</t>
    <phoneticPr fontId="6"/>
  </si>
  <si>
    <t>Submersibles</t>
    <phoneticPr fontId="6"/>
  </si>
  <si>
    <t>Magic/Psychic</t>
    <phoneticPr fontId="6"/>
  </si>
  <si>
    <t>Social</t>
    <phoneticPr fontId="6"/>
  </si>
  <si>
    <t>20 Gauge Shotgun 5</t>
  </si>
  <si>
    <t>Pistol .22 Magnum</t>
  </si>
  <si>
    <t>Communications Science</t>
  </si>
  <si>
    <t>High G Environ</t>
  </si>
  <si>
    <t>Pack 100</t>
  </si>
  <si>
    <t>Pistol .221 Fireball</t>
  </si>
  <si>
    <t>BP Pistol .75 caliber</t>
  </si>
  <si>
    <t>BP Rifle .65 caliber</t>
  </si>
  <si>
    <t>BP Pistol .65 caliber</t>
  </si>
  <si>
    <t>20 Gauge Shotgun 6</t>
  </si>
  <si>
    <t>Karma Spent</t>
  </si>
  <si>
    <t>Rifle .284</t>
  </si>
  <si>
    <t>Short Sword</t>
  </si>
  <si>
    <t>History</t>
  </si>
  <si>
    <t>Current Karma</t>
  </si>
  <si>
    <t>Tech 14 Laser MMG 7mm</t>
  </si>
  <si>
    <t>Bonus/Penalty</t>
  </si>
  <si>
    <t>Rifle .280</t>
  </si>
  <si>
    <t>Fatigue Points:</t>
  </si>
  <si>
    <t>Tech 17 Blaster Rifle 5mm</t>
  </si>
  <si>
    <t>Cost</t>
  </si>
  <si>
    <t>Auto 7</t>
  </si>
  <si>
    <t>Auto 16</t>
  </si>
  <si>
    <t>Covert Operations, General</t>
    <phoneticPr fontId="6"/>
  </si>
  <si>
    <t>Aircraft Electrician</t>
    <phoneticPr fontId="6"/>
  </si>
  <si>
    <t>General Skills</t>
    <phoneticPr fontId="6"/>
  </si>
  <si>
    <t>Ninjato</t>
  </si>
  <si>
    <t>kph</t>
  </si>
  <si>
    <t>Distinguishing Marks:</t>
  </si>
  <si>
    <t>Flight</t>
  </si>
  <si>
    <t>Star Trek</t>
  </si>
  <si>
    <t>Writing</t>
  </si>
  <si>
    <t>Med Rage</t>
  </si>
  <si>
    <t>Specific Environment Survival</t>
  </si>
  <si>
    <t>Working Life</t>
    <phoneticPr fontId="6"/>
  </si>
  <si>
    <t>Space Pilot</t>
    <phoneticPr fontId="14" type="noConversion"/>
  </si>
  <si>
    <t>Extreme</t>
  </si>
  <si>
    <t>Vulcan</t>
  </si>
  <si>
    <t>Forensics</t>
    <phoneticPr fontId="6"/>
  </si>
  <si>
    <t>Auto 9</t>
    <phoneticPr fontId="6"/>
  </si>
  <si>
    <t>Pistol 9mm Parabellum</t>
    <phoneticPr fontId="6"/>
  </si>
  <si>
    <t>Interrogation</t>
  </si>
  <si>
    <t>Intelligence (Military)</t>
  </si>
  <si>
    <t>Typical Attire:</t>
  </si>
  <si>
    <t>Defense</t>
    <phoneticPr fontId="6"/>
  </si>
  <si>
    <t>Physical Attributes</t>
  </si>
  <si>
    <t>Boxing</t>
    <phoneticPr fontId="6"/>
  </si>
  <si>
    <t>Tech 17 Laser Pistol 5mm</t>
  </si>
  <si>
    <t>Tech 17 Laser Carbine 5mm</t>
  </si>
  <si>
    <t>The character receives a +1 bonus per rank on Perception tests based on vision.</t>
  </si>
  <si>
    <t>Alertness</t>
  </si>
  <si>
    <t>The character receives a +1 bonus per rank on all Perception tests.</t>
  </si>
  <si>
    <t>Rank Limit</t>
  </si>
  <si>
    <t>Effect</t>
  </si>
  <si>
    <t>Cost per Rank</t>
  </si>
  <si>
    <t>Initiative</t>
    <phoneticPr fontId="6"/>
  </si>
  <si>
    <t>Automobile, (Wheeled)</t>
    <phoneticPr fontId="6"/>
  </si>
  <si>
    <t>31-50</t>
  </si>
  <si>
    <t>Xenorelations (Sentient Relations)</t>
  </si>
  <si>
    <t>D6</t>
  </si>
  <si>
    <t>Intuition</t>
  </si>
  <si>
    <t>Jump Belt/Contragrav Harness/Grav Belt</t>
  </si>
  <si>
    <t>Pistol .22 Scamp</t>
  </si>
  <si>
    <t>Recon/Scout</t>
  </si>
  <si>
    <t>Pistol .44 Automag</t>
  </si>
  <si>
    <t>Rifle .56/50 Spencer</t>
  </si>
  <si>
    <t>Architecture</t>
  </si>
  <si>
    <t>Pack 180</t>
  </si>
  <si>
    <t>Escape Artistry</t>
  </si>
  <si>
    <t>Etiquette</t>
  </si>
  <si>
    <t>Kendo</t>
  </si>
  <si>
    <t>Tailor</t>
  </si>
  <si>
    <t>Hypnotize</t>
  </si>
  <si>
    <t>Animal Bond</t>
  </si>
  <si>
    <t>Tech 18 Blaster HMG 5mm</t>
  </si>
  <si>
    <t>Virushi</t>
  </si>
  <si>
    <t>Scarmis</t>
  </si>
  <si>
    <t>Partial Heavy Armor Suit</t>
  </si>
  <si>
    <t>Light Form-Fitting Body Armor</t>
  </si>
  <si>
    <t>Missile Launcher</t>
  </si>
  <si>
    <t>20-70</t>
  </si>
  <si>
    <t>71-150</t>
  </si>
  <si>
    <t>Speak Language</t>
  </si>
  <si>
    <t>Spell Design</t>
  </si>
  <si>
    <t>Shield Charge</t>
  </si>
  <si>
    <t>Talismongering</t>
  </si>
  <si>
    <t>Bayonet, Long</t>
  </si>
  <si>
    <t>Bec De Corbin</t>
  </si>
  <si>
    <t>Brass Knuckles</t>
  </si>
  <si>
    <t>Animal Herding</t>
  </si>
  <si>
    <t>Shield Block</t>
  </si>
  <si>
    <t>12 Gauge Assault Shotgun 00 Buck</t>
  </si>
  <si>
    <t>Rifle .460 Weatherby Magnum</t>
  </si>
  <si>
    <t>Rapier</t>
  </si>
  <si>
    <t>Explosives, Simple</t>
  </si>
  <si>
    <t>16 Gauge Shotgun 9</t>
  </si>
  <si>
    <t>Firearm Damage</t>
  </si>
  <si>
    <t>Vargr</t>
  </si>
  <si>
    <t>Trarch</t>
  </si>
  <si>
    <t>Woffen</t>
  </si>
  <si>
    <t>Hlaka</t>
  </si>
  <si>
    <t>Pachi Lei</t>
  </si>
  <si>
    <t>6-10</t>
  </si>
  <si>
    <t>Morning Star</t>
  </si>
  <si>
    <t>Rifle, Black Powder</t>
  </si>
  <si>
    <t>Security Operations</t>
  </si>
  <si>
    <t>Security Systems</t>
  </si>
  <si>
    <t>Firearm Attack</t>
  </si>
  <si>
    <t>Prospecting</t>
  </si>
  <si>
    <t>Psionics</t>
  </si>
  <si>
    <t>Rifle .35</t>
  </si>
  <si>
    <t>Rifle .358</t>
  </si>
  <si>
    <t>Rifle .375</t>
  </si>
  <si>
    <t>Bastard Sword (one hand)</t>
  </si>
  <si>
    <t>Appearance</t>
  </si>
  <si>
    <t>Astrophysics</t>
  </si>
  <si>
    <t>Aura Reading</t>
  </si>
  <si>
    <t>0-5</t>
  </si>
  <si>
    <t>6-20</t>
  </si>
  <si>
    <t>Math, Theoretical</t>
    <phoneticPr fontId="6"/>
  </si>
  <si>
    <t>Technical</t>
    <phoneticPr fontId="6"/>
  </si>
  <si>
    <t>Medium Military Armor</t>
  </si>
  <si>
    <t>28 Gauge Shotgun 8</t>
  </si>
  <si>
    <t>Str Bonus</t>
  </si>
  <si>
    <t>No</t>
  </si>
  <si>
    <t>Psychic Endurance</t>
  </si>
  <si>
    <t>Bastard Sword (two hands)</t>
  </si>
  <si>
    <t>Padded Leather</t>
  </si>
  <si>
    <t>Longsword</t>
  </si>
  <si>
    <t>Unarmed Combat Specialty</t>
    <phoneticPr fontId="6"/>
  </si>
  <si>
    <t>Projectile Weapon Specialty</t>
    <phoneticPr fontId="6"/>
  </si>
  <si>
    <t>Spellcasting</t>
    <phoneticPr fontId="6"/>
  </si>
  <si>
    <t>Naval Systems Electrician</t>
    <phoneticPr fontId="6"/>
  </si>
  <si>
    <t>Acute Hearing</t>
  </si>
  <si>
    <t>Archeology</t>
  </si>
  <si>
    <t>Archery</t>
  </si>
  <si>
    <t>Light Cloth</t>
  </si>
  <si>
    <t>Sniper Rifle</t>
  </si>
  <si>
    <t>Electronics Engineering</t>
    <phoneticPr fontId="6"/>
  </si>
  <si>
    <t>Grenade Launcher</t>
  </si>
  <si>
    <t>Mental Resistance</t>
    <phoneticPr fontId="6"/>
  </si>
  <si>
    <t>Bat with Nails</t>
  </si>
  <si>
    <t>Hoe</t>
  </si>
  <si>
    <t>General Practice</t>
    <phoneticPr fontId="6"/>
  </si>
  <si>
    <t>Medical Specialty</t>
    <phoneticPr fontId="6"/>
  </si>
  <si>
    <t>Toxicology</t>
    <phoneticPr fontId="6"/>
  </si>
  <si>
    <t>Jumping</t>
  </si>
  <si>
    <t>Might</t>
  </si>
  <si>
    <t>Spacedrive Engineering</t>
    <phoneticPr fontId="6"/>
  </si>
  <si>
    <t>Power Generator Engineering</t>
    <phoneticPr fontId="6"/>
  </si>
  <si>
    <t>Kevlar</t>
  </si>
  <si>
    <t>Armor Clothing</t>
  </si>
  <si>
    <t>Heavy Sniper Rifle</t>
  </si>
  <si>
    <t>LMG</t>
  </si>
  <si>
    <t>41-120</t>
  </si>
  <si>
    <t>Ranges (in meters)</t>
  </si>
  <si>
    <t>Short</t>
  </si>
  <si>
    <t>Disadvantages</t>
  </si>
  <si>
    <t>Ballistic</t>
  </si>
  <si>
    <t>Energy</t>
  </si>
  <si>
    <t>Penalty</t>
  </si>
  <si>
    <t>Superficial</t>
  </si>
  <si>
    <t>Minor</t>
  </si>
  <si>
    <t>Theology</t>
  </si>
  <si>
    <t>Knife, Bowie</t>
  </si>
  <si>
    <t>Agility</t>
    <phoneticPr fontId="6"/>
  </si>
  <si>
    <t>Tinaliya</t>
  </si>
  <si>
    <t>Heavy Weapons, General</t>
    <phoneticPr fontId="6"/>
  </si>
  <si>
    <t>Pick-Axe</t>
  </si>
  <si>
    <t>Two Weapons</t>
  </si>
  <si>
    <t>Yes</t>
  </si>
  <si>
    <t>MPR / KPH</t>
  </si>
  <si>
    <t>Chain Mail (Iron)</t>
  </si>
  <si>
    <t>Physics, Force Field</t>
  </si>
  <si>
    <t>Physics, General</t>
  </si>
  <si>
    <t>Spell or Special Attacks</t>
  </si>
  <si>
    <t>Missile Modifiers</t>
  </si>
  <si>
    <t>Club/Cudgel</t>
  </si>
  <si>
    <t>151-300</t>
  </si>
  <si>
    <t>Rifle .25-06</t>
  </si>
  <si>
    <t>Rifle .25-20</t>
  </si>
  <si>
    <t>Parachute</t>
  </si>
  <si>
    <t>Tech 15 Laser MMG 7mm</t>
  </si>
  <si>
    <t>Mimicry</t>
  </si>
  <si>
    <t>Mining</t>
  </si>
  <si>
    <t>Sap</t>
  </si>
  <si>
    <t>11-75</t>
  </si>
  <si>
    <t>Unarmed Combat</t>
  </si>
  <si>
    <t>Reach</t>
  </si>
  <si>
    <t>Zero G Environment</t>
  </si>
  <si>
    <t>Scapegoat</t>
  </si>
  <si>
    <t>51-150</t>
  </si>
  <si>
    <t>Spear (one hand)</t>
  </si>
  <si>
    <t>Computer Systems Design</t>
  </si>
  <si>
    <t>Conversation</t>
  </si>
  <si>
    <t>Cooking</t>
  </si>
  <si>
    <t>12 Gauge Shotgun 0 Buck</t>
  </si>
  <si>
    <t>Bureaucracy</t>
  </si>
  <si>
    <t>Nunchaku</t>
  </si>
  <si>
    <t>Military Science, Strategy</t>
  </si>
  <si>
    <t>No-Dachi</t>
  </si>
  <si>
    <t>Pipe</t>
  </si>
  <si>
    <t>Muscle Powered Vehicle Repair</t>
  </si>
  <si>
    <t>Heavy Military Helmet</t>
  </si>
  <si>
    <t>Cutlass</t>
  </si>
  <si>
    <t>Petal Throne</t>
  </si>
  <si>
    <t>Ahoggya</t>
  </si>
  <si>
    <t>Physics, Hyper Dimension</t>
  </si>
  <si>
    <t>Pharmacy</t>
  </si>
  <si>
    <t>Surgery</t>
  </si>
  <si>
    <t>Base</t>
  </si>
  <si>
    <t>Blowgun Dart</t>
  </si>
  <si>
    <t>Reptileman</t>
  </si>
  <si>
    <t>Klingon</t>
  </si>
  <si>
    <t xml:space="preserve">  ID Number:</t>
  </si>
  <si>
    <t>Romulan</t>
  </si>
  <si>
    <t>Andoran</t>
  </si>
  <si>
    <t xml:space="preserve">  Handedness:</t>
  </si>
  <si>
    <t>Pistol, Black Powder</t>
  </si>
  <si>
    <t>Cannot penetrate solid armor (breast plate, etc.).  Does only no damage but delivers poison.</t>
  </si>
  <si>
    <t>Negotiation</t>
    <phoneticPr fontId="6"/>
  </si>
  <si>
    <t>Diplomacy</t>
    <phoneticPr fontId="6"/>
  </si>
  <si>
    <t>Folklore</t>
    <phoneticPr fontId="6"/>
  </si>
  <si>
    <t>Active Defense</t>
    <phoneticPr fontId="6"/>
  </si>
  <si>
    <t>Human</t>
    <phoneticPr fontId="6"/>
  </si>
  <si>
    <t>Cybernetics Technician</t>
  </si>
  <si>
    <t>Cybertechnology</t>
  </si>
  <si>
    <t>Halfling</t>
  </si>
  <si>
    <t>Pike</t>
  </si>
  <si>
    <t>Sprite</t>
  </si>
  <si>
    <t>Total Hit Points</t>
  </si>
  <si>
    <t>Pistol .22 Stinger</t>
  </si>
  <si>
    <t>Initiative</t>
  </si>
  <si>
    <t>D10+</t>
  </si>
  <si>
    <t>Genetic Therapy</t>
  </si>
  <si>
    <t>Guns</t>
    <phoneticPr fontId="6"/>
  </si>
  <si>
    <t>Melee Weapons</t>
    <phoneticPr fontId="6"/>
  </si>
  <si>
    <t>Skills Back</t>
  </si>
  <si>
    <t>Advantage</t>
  </si>
  <si>
    <t>Disadvantage</t>
  </si>
  <si>
    <t>Create Mechanical Devices</t>
    <phoneticPr fontId="6"/>
  </si>
  <si>
    <t>Alchemy</t>
    <phoneticPr fontId="6"/>
  </si>
  <si>
    <t>Natural Armor Leather</t>
  </si>
  <si>
    <t>Padded Cloth</t>
  </si>
  <si>
    <t>Brawling/Martial Art Damage</t>
  </si>
  <si>
    <t>Engineering</t>
    <phoneticPr fontId="6"/>
  </si>
  <si>
    <t>Heavy Leather</t>
  </si>
  <si>
    <t>D6+</t>
  </si>
  <si>
    <t>Assault Rifle</t>
  </si>
  <si>
    <t>16-40</t>
  </si>
  <si>
    <t>Survival</t>
    <phoneticPr fontId="6"/>
  </si>
  <si>
    <t>Heavy Hide</t>
  </si>
  <si>
    <t>Maneuver</t>
  </si>
  <si>
    <t>Masonry</t>
  </si>
  <si>
    <t>Rapport</t>
  </si>
  <si>
    <t>Animal Understanding</t>
  </si>
  <si>
    <t>Instruction</t>
  </si>
  <si>
    <t>Intimidation</t>
  </si>
  <si>
    <t>Inventing</t>
  </si>
  <si>
    <t>2D6+</t>
  </si>
  <si>
    <t>Tech 16 Blaster HMG 5mm</t>
  </si>
  <si>
    <t>Forced March</t>
  </si>
  <si>
    <t>Rev 6</t>
  </si>
  <si>
    <t>Tologra</t>
  </si>
  <si>
    <t>Ramian</t>
  </si>
  <si>
    <t>Salu</t>
  </si>
  <si>
    <t>Cudgel</t>
  </si>
  <si>
    <t>Dirk</t>
  </si>
  <si>
    <t>Falchion</t>
  </si>
  <si>
    <t>Laser Sword</t>
  </si>
  <si>
    <t>Animal Handling</t>
  </si>
  <si>
    <t>Intuition/Psychic</t>
  </si>
  <si>
    <t xml:space="preserve">12 Gauge Shotgun 4 Buck </t>
  </si>
  <si>
    <t>D20+</t>
  </si>
  <si>
    <t>20 Gauge Shotgun 3 Buck</t>
  </si>
  <si>
    <t>20 Gauge Shotgun 2 Buck</t>
  </si>
  <si>
    <t>Rifle 7.62 Short</t>
  </si>
  <si>
    <t>Rifle 7.62mm Russian</t>
  </si>
  <si>
    <t>Fusion Assault Cannon</t>
  </si>
  <si>
    <t>Total</t>
  </si>
  <si>
    <t>Tech 18 Blaster Pistol 5mm</t>
  </si>
  <si>
    <t>Tech 18 Blaster Carbine 5mm</t>
  </si>
  <si>
    <t>Lockpicking, Electronic</t>
  </si>
  <si>
    <t>Lockpicking, Mechanical</t>
  </si>
  <si>
    <t>20 Gauge Shotgun Slug</t>
  </si>
  <si>
    <t>Pistol .32 Long</t>
  </si>
  <si>
    <t>Pistol .32 Short</t>
  </si>
  <si>
    <t>SMG Uzi</t>
  </si>
  <si>
    <t>Pilot</t>
    <phoneticPr fontId="6"/>
  </si>
  <si>
    <t>Pistol .32-20</t>
  </si>
  <si>
    <t>Tech 17 Blaster Pistol 5mm</t>
  </si>
  <si>
    <t>Military</t>
    <phoneticPr fontId="6"/>
  </si>
  <si>
    <t>Tech 16 Blaster Carbine 5mm</t>
  </si>
  <si>
    <t>Traveller</t>
  </si>
  <si>
    <t>Hiver</t>
  </si>
  <si>
    <t>Bronth</t>
  </si>
  <si>
    <t>Xenoecology</t>
  </si>
  <si>
    <t>Xenozoology</t>
  </si>
  <si>
    <t>Zoology</t>
  </si>
  <si>
    <t>Biochemistry</t>
  </si>
  <si>
    <t>Metallurgy</t>
    <phoneticPr fontId="6"/>
  </si>
  <si>
    <t>Rifle 7mm Mauser</t>
  </si>
  <si>
    <t>Rifle 8mm Mauser</t>
  </si>
  <si>
    <t>5-50</t>
  </si>
  <si>
    <t>28 Gauge Shotgun 4</t>
  </si>
  <si>
    <t>Theoretical Sciences</t>
  </si>
  <si>
    <t>HMG</t>
  </si>
  <si>
    <t>151-400</t>
  </si>
  <si>
    <t xml:space="preserve">  Eyes:</t>
  </si>
  <si>
    <t>21-100</t>
  </si>
  <si>
    <t>Meditation</t>
  </si>
  <si>
    <t>Possessions</t>
  </si>
  <si>
    <t>28 Gauge Shotgun 9</t>
  </si>
  <si>
    <t>Melee Weapons</t>
    <phoneticPr fontId="6"/>
  </si>
  <si>
    <t>History/Background</t>
  </si>
  <si>
    <t>Stamina</t>
  </si>
  <si>
    <t>Presence</t>
  </si>
  <si>
    <t>Combat Def W Parry or Shield</t>
    <phoneticPr fontId="6"/>
  </si>
  <si>
    <t>Wrestling</t>
    <phoneticPr fontId="6"/>
  </si>
  <si>
    <t>Gun Specialty</t>
    <phoneticPr fontId="6"/>
  </si>
  <si>
    <t>Baseball Bat</t>
  </si>
  <si>
    <t>16 Gauge Shotgun 4 Buck</t>
  </si>
  <si>
    <t>Art Theory</t>
  </si>
  <si>
    <t>Two Pistols</t>
  </si>
  <si>
    <t>Parry</t>
  </si>
  <si>
    <t>Combat Rifle</t>
  </si>
  <si>
    <t>Pack 120</t>
  </si>
  <si>
    <t>Pack 240</t>
  </si>
  <si>
    <t>Armor Rating</t>
  </si>
  <si>
    <t>16 Gauge Shotgun 2</t>
  </si>
  <si>
    <t>Rifle Gyrojet</t>
  </si>
  <si>
    <t>Computer Programming</t>
    <phoneticPr fontId="6"/>
  </si>
  <si>
    <t>Geology</t>
  </si>
  <si>
    <t>Gravitics</t>
  </si>
  <si>
    <t>Wakizashi/Ko-Dachi</t>
  </si>
  <si>
    <t>Missile Artillery</t>
  </si>
  <si>
    <t>+1</t>
  </si>
  <si>
    <t>Rifle, Gauss</t>
  </si>
  <si>
    <t>Riposte</t>
  </si>
  <si>
    <t>Melee Damage Ratings</t>
  </si>
  <si>
    <t>Rifle 7.7mm Arisaka</t>
  </si>
  <si>
    <t>Concentration</t>
    <phoneticPr fontId="6"/>
  </si>
  <si>
    <t>Flamethrower</t>
    <phoneticPr fontId="6"/>
  </si>
  <si>
    <t>Grenade Launcher</t>
    <phoneticPr fontId="6"/>
  </si>
  <si>
    <t>Musical Instrument</t>
    <phoneticPr fontId="6"/>
  </si>
  <si>
    <t>Dexterity</t>
    <phoneticPr fontId="6"/>
  </si>
  <si>
    <t>Light Security Armor</t>
  </si>
  <si>
    <t>ECM/EW Operations</t>
  </si>
  <si>
    <t>0-2</t>
  </si>
  <si>
    <t>Date of Birth:</t>
  </si>
  <si>
    <t>Ablative</t>
  </si>
  <si>
    <t>Knowledge</t>
    <phoneticPr fontId="6"/>
  </si>
  <si>
    <t>Performance</t>
    <phoneticPr fontId="6"/>
  </si>
  <si>
    <t>Reflec</t>
  </si>
  <si>
    <t>Cash:</t>
  </si>
  <si>
    <t>Income:</t>
  </si>
  <si>
    <t>Description</t>
  </si>
  <si>
    <t>Impact Armor</t>
  </si>
  <si>
    <t>Mesh</t>
  </si>
  <si>
    <t>Tech 14 Laser Carbine 5mm</t>
  </si>
  <si>
    <t>Init Penalty</t>
  </si>
  <si>
    <t>Scimitar</t>
  </si>
  <si>
    <t>Centering</t>
  </si>
  <si>
    <t>Skill Total</t>
  </si>
  <si>
    <t>Karate</t>
    <phoneticPr fontId="6"/>
  </si>
  <si>
    <t>Astrogation</t>
  </si>
  <si>
    <t>21-50</t>
  </si>
  <si>
    <t>Security Helmet</t>
  </si>
  <si>
    <t xml:space="preserve">  Hair:</t>
  </si>
  <si>
    <t>Riot Shield, Large</t>
  </si>
  <si>
    <t>Trotting</t>
  </si>
  <si>
    <t>Sprinting</t>
  </si>
  <si>
    <t>Tech 14 Laser LMG 5mm</t>
  </si>
  <si>
    <t>Pistol, Beam</t>
  </si>
  <si>
    <t>Credibility</t>
  </si>
  <si>
    <t>Conceal Weapon</t>
  </si>
  <si>
    <t>Plastics Synthesizing</t>
  </si>
  <si>
    <t>Hercuweave</t>
  </si>
  <si>
    <t>Combat Engineer Construction</t>
  </si>
  <si>
    <t>Combat Engineer Defusing Explosives</t>
  </si>
  <si>
    <t>Tech 15 Laser Pistol 5mm</t>
  </si>
  <si>
    <t>Rifle .30 Carbine</t>
  </si>
  <si>
    <t>Fusion Pistol</t>
  </si>
  <si>
    <t>Tangle Rifle</t>
  </si>
  <si>
    <t>Commerce</t>
  </si>
  <si>
    <t>Persuasion</t>
  </si>
  <si>
    <t>Rank</t>
  </si>
  <si>
    <t>Spade</t>
  </si>
  <si>
    <t>Spear</t>
  </si>
  <si>
    <t>Straight Razor</t>
  </si>
  <si>
    <t>Target Arrow</t>
  </si>
  <si>
    <t>Mortars</t>
  </si>
  <si>
    <t>tangles</t>
  </si>
  <si>
    <t>Heavy Weapon, .55 Boys AT/MG</t>
  </si>
  <si>
    <t>Administration</t>
  </si>
  <si>
    <t>Gauss Rifle 1mm</t>
  </si>
  <si>
    <t>Heavy Weapon, 14.5mm BS-41 AT</t>
  </si>
  <si>
    <t>Leadership</t>
  </si>
  <si>
    <t>Physics, Nuclear</t>
  </si>
  <si>
    <t>Armor/Shield</t>
  </si>
  <si>
    <t>Dying</t>
  </si>
  <si>
    <t>Lethal Damage</t>
  </si>
  <si>
    <t>&lt;50%</t>
  </si>
  <si>
    <t>Gauss Rifle 2mm</t>
  </si>
  <si>
    <t>Gauss Rifle 3mm</t>
  </si>
  <si>
    <t>BP Pistol .70 caliber</t>
  </si>
  <si>
    <t>Rowboat</t>
    <phoneticPr fontId="6"/>
  </si>
  <si>
    <t>Powerboat</t>
    <phoneticPr fontId="6"/>
  </si>
  <si>
    <t>&gt;50% is -3</t>
  </si>
  <si>
    <t>Effective</t>
  </si>
  <si>
    <t>Long</t>
  </si>
  <si>
    <t>Longbow</t>
  </si>
  <si>
    <t>Advantages</t>
  </si>
  <si>
    <t>Powered Armor</t>
  </si>
  <si>
    <t>Type</t>
  </si>
  <si>
    <t>None</t>
  </si>
  <si>
    <t>Vehicle Electrician</t>
    <phoneticPr fontId="6"/>
  </si>
  <si>
    <t>Mechanical</t>
    <phoneticPr fontId="6"/>
  </si>
  <si>
    <t>Medical</t>
    <phoneticPr fontId="6"/>
  </si>
  <si>
    <t>Driver</t>
    <phoneticPr fontId="6"/>
  </si>
  <si>
    <t>Full Heavy Armor Suit</t>
    <phoneticPr fontId="6"/>
  </si>
  <si>
    <t>Dwarf</t>
  </si>
  <si>
    <t>Elf</t>
  </si>
  <si>
    <t>Knowledge</t>
    <phoneticPr fontId="6"/>
  </si>
  <si>
    <t>Covert</t>
    <phoneticPr fontId="6"/>
  </si>
  <si>
    <t>Athletics</t>
    <phoneticPr fontId="6"/>
  </si>
  <si>
    <t>Fire Arms</t>
  </si>
  <si>
    <t>Tech 17 Laser Rifle 5mm</t>
  </si>
  <si>
    <t>21-30</t>
  </si>
  <si>
    <t>Bluff</t>
    <phoneticPr fontId="6"/>
  </si>
  <si>
    <t>Counseling</t>
    <phoneticPr fontId="6"/>
  </si>
  <si>
    <t>Perception</t>
    <phoneticPr fontId="6"/>
  </si>
  <si>
    <t>Pistol, Gauss</t>
  </si>
  <si>
    <t>Hluss</t>
  </si>
  <si>
    <t>Hlutgru</t>
  </si>
  <si>
    <t>Rifle, Automatic (semi -auto)</t>
  </si>
  <si>
    <t>Tech 17 Laser Pistol 3mm</t>
  </si>
  <si>
    <t>Spell/Psychic Defense</t>
    <phoneticPr fontId="6"/>
  </si>
  <si>
    <t>Social Defense</t>
    <phoneticPr fontId="6"/>
  </si>
  <si>
    <t>Physical Resistance</t>
    <phoneticPr fontId="6"/>
  </si>
  <si>
    <t>or Skill Test</t>
    <phoneticPr fontId="6"/>
  </si>
  <si>
    <t>Mental Resistance</t>
    <phoneticPr fontId="6"/>
  </si>
  <si>
    <t>or Skill Test</t>
    <phoneticPr fontId="6"/>
  </si>
  <si>
    <t>Initiative</t>
    <phoneticPr fontId="6"/>
  </si>
  <si>
    <t>Bonus</t>
    <phoneticPr fontId="6"/>
  </si>
  <si>
    <t>Kevlar</t>
    <phoneticPr fontId="6"/>
  </si>
  <si>
    <t>Kendo</t>
    <phoneticPr fontId="6"/>
  </si>
  <si>
    <t>None</t>
    <phoneticPr fontId="6"/>
  </si>
  <si>
    <t>Tai Kwan Doe</t>
    <phoneticPr fontId="6"/>
  </si>
  <si>
    <t>Magic/Psychic</t>
    <phoneticPr fontId="6"/>
  </si>
  <si>
    <t>Medium Security Armor</t>
  </si>
  <si>
    <t>Ring Mail (Iron)</t>
  </si>
  <si>
    <t>3-5</t>
  </si>
  <si>
    <t>11-20</t>
  </si>
  <si>
    <t>&lt;50% is -2</t>
  </si>
  <si>
    <t>Computer Engineering</t>
    <phoneticPr fontId="6"/>
  </si>
  <si>
    <t>Intelligence</t>
    <phoneticPr fontId="6"/>
  </si>
  <si>
    <t>Anti-Matter Fuel Production</t>
    <phoneticPr fontId="6"/>
  </si>
  <si>
    <t>Petroleum Fuel Production</t>
    <phoneticPr fontId="6"/>
  </si>
  <si>
    <t>Assault Rifle</t>
    <phoneticPr fontId="6"/>
  </si>
  <si>
    <t>Impact Rating</t>
  </si>
  <si>
    <t>Ballistic Rating</t>
  </si>
  <si>
    <t>Hammer, Claw</t>
  </si>
  <si>
    <t>Hammer, War</t>
  </si>
  <si>
    <t>Arcane Mutterings</t>
  </si>
  <si>
    <t>12 Gauge Shotgun Slug</t>
  </si>
  <si>
    <t>16 Gauge Shotgun 1 Buck</t>
  </si>
  <si>
    <t>Stealth</t>
  </si>
  <si>
    <t>Belt Buckle</t>
  </si>
  <si>
    <t>Bill</t>
  </si>
  <si>
    <t>Bo</t>
  </si>
  <si>
    <t>Bodkin</t>
  </si>
  <si>
    <t>Rifle .444 Marlin</t>
  </si>
  <si>
    <t>Rifle .44-40</t>
  </si>
  <si>
    <t>Improved Impact Armor</t>
  </si>
  <si>
    <t>Force Blade</t>
  </si>
  <si>
    <t>Vibro-Blade</t>
  </si>
  <si>
    <t>Rifle 7.92 Patronen 318</t>
  </si>
  <si>
    <t>Rifle .600 Nitro Express</t>
  </si>
  <si>
    <t>Gambling</t>
  </si>
  <si>
    <t>Genealogy</t>
  </si>
  <si>
    <t>Geography</t>
  </si>
  <si>
    <t>Tech 18 Blaster Rifle 5mm</t>
  </si>
  <si>
    <t>Attribute</t>
  </si>
  <si>
    <t>Forensic Science</t>
  </si>
  <si>
    <t>Tech 17 Laser HMG 10mm</t>
  </si>
  <si>
    <t>Tech 15 Blaster Pistol 5mm</t>
  </si>
  <si>
    <t>Rifle .44 Magnum</t>
  </si>
  <si>
    <t>Disguise</t>
  </si>
  <si>
    <t>Distillation</t>
  </si>
  <si>
    <t>Gauss Rifle 4mm</t>
  </si>
  <si>
    <t>Tech 15 Blaster MMG 5mm</t>
  </si>
  <si>
    <t>Boccord</t>
  </si>
  <si>
    <t>Countermagic</t>
    <phoneticPr fontId="6"/>
  </si>
  <si>
    <t>Mythology</t>
    <phoneticPr fontId="6"/>
  </si>
  <si>
    <t>Sculpting</t>
    <phoneticPr fontId="6"/>
  </si>
  <si>
    <t>Dexterity</t>
    <phoneticPr fontId="6"/>
  </si>
  <si>
    <t>Climbing</t>
  </si>
  <si>
    <t>Diving</t>
  </si>
  <si>
    <t>Guns, General</t>
    <phoneticPr fontId="6"/>
  </si>
  <si>
    <t>Rifle, Automatic (semi -auto)</t>
    <phoneticPr fontId="6"/>
  </si>
  <si>
    <t>Pistol, Automatic</t>
    <phoneticPr fontId="6"/>
  </si>
  <si>
    <t>Athletics, General</t>
    <phoneticPr fontId="6"/>
  </si>
  <si>
    <t>Dodge</t>
    <phoneticPr fontId="6"/>
  </si>
  <si>
    <t>Metal Working</t>
    <phoneticPr fontId="6"/>
  </si>
  <si>
    <t>Pottery</t>
    <phoneticPr fontId="6"/>
  </si>
  <si>
    <t>Pistol 9mm Lugar</t>
    <phoneticPr fontId="6"/>
  </si>
  <si>
    <t>Countermagic</t>
    <phoneticPr fontId="6"/>
  </si>
  <si>
    <t>NA</t>
    <phoneticPr fontId="6"/>
  </si>
  <si>
    <t>Krav Maga</t>
    <phoneticPr fontId="6"/>
  </si>
  <si>
    <t>Size Modifier</t>
  </si>
  <si>
    <t>Negates 2 points of armor</t>
  </si>
  <si>
    <t>Battery 300</t>
  </si>
  <si>
    <t>Jo Stick</t>
  </si>
  <si>
    <t>+2</t>
  </si>
  <si>
    <t>Computers, General</t>
    <phoneticPr fontId="6"/>
  </si>
  <si>
    <t>Demolitions</t>
    <phoneticPr fontId="6"/>
  </si>
  <si>
    <t>Intelligence</t>
  </si>
  <si>
    <t xml:space="preserve"> A former Army Ranger and martial arts enthusiast, Rage got hooked on computers and the Internet.  He gets to use both his combat and computer skills working with a private investagator on some pretty interesting cases.</t>
    <phoneticPr fontId="6"/>
  </si>
  <si>
    <t>Wilderness Survival</t>
    <phoneticPr fontId="6"/>
  </si>
  <si>
    <t>High Pain Tolerance -1</t>
    <phoneticPr fontId="6"/>
  </si>
  <si>
    <t>Driver, General</t>
    <phoneticPr fontId="6"/>
  </si>
  <si>
    <t>Acute Vision - 3</t>
    <phoneticPr fontId="6"/>
  </si>
  <si>
    <t>Driver, Spec, Auto</t>
    <phoneticPr fontId="6"/>
  </si>
  <si>
    <t>Combat Reflexes - 3</t>
    <phoneticPr fontId="6"/>
  </si>
  <si>
    <t>Leer-Pa</t>
  </si>
  <si>
    <t>Primitive Siege Engine</t>
  </si>
  <si>
    <t>Vibro-Axe</t>
  </si>
  <si>
    <t>Vibro-Sword</t>
  </si>
  <si>
    <t>Lined Coat</t>
  </si>
  <si>
    <t>Brawling/Martial Art Attack</t>
  </si>
  <si>
    <t>Kung Fu</t>
    <phoneticPr fontId="6"/>
  </si>
  <si>
    <t>Savate</t>
    <phoneticPr fontId="6"/>
  </si>
  <si>
    <t>Sporting Rifle</t>
  </si>
  <si>
    <t>31-60</t>
  </si>
  <si>
    <t>61-150</t>
  </si>
  <si>
    <t>Covert</t>
    <phoneticPr fontId="6"/>
  </si>
  <si>
    <t>Combat Defense Dodging</t>
    <phoneticPr fontId="6"/>
  </si>
  <si>
    <t>Mental Resistance</t>
    <phoneticPr fontId="6"/>
  </si>
  <si>
    <t>Hit Points</t>
  </si>
  <si>
    <t>Rating</t>
  </si>
  <si>
    <t xml:space="preserve">  /  </t>
  </si>
  <si>
    <t>Light Leather</t>
  </si>
  <si>
    <t>Species Mod</t>
  </si>
  <si>
    <t>Swimming</t>
  </si>
  <si>
    <t>Covert</t>
    <phoneticPr fontId="14" type="noConversion"/>
  </si>
  <si>
    <t>Flying</t>
  </si>
  <si>
    <t>Athletics</t>
    <phoneticPr fontId="14" type="noConversion"/>
  </si>
  <si>
    <t>Technical</t>
    <phoneticPr fontId="6"/>
  </si>
  <si>
    <t>Firearm Repair Primitive</t>
    <phoneticPr fontId="6"/>
  </si>
  <si>
    <t>Lance</t>
  </si>
  <si>
    <t>Nyagga</t>
  </si>
  <si>
    <t>Physical Resistance</t>
    <phoneticPr fontId="6"/>
  </si>
  <si>
    <t>Depletion Points</t>
    <phoneticPr fontId="6"/>
  </si>
  <si>
    <t>Judo</t>
    <phoneticPr fontId="6"/>
  </si>
  <si>
    <t>Rifle 4.6 HK 36 experimental</t>
  </si>
  <si>
    <t>Performance Art</t>
  </si>
  <si>
    <t>31-40</t>
  </si>
  <si>
    <t>11-30</t>
  </si>
  <si>
    <t>31-80</t>
  </si>
  <si>
    <t>Phaser Technology</t>
  </si>
  <si>
    <t>Philosophy</t>
  </si>
  <si>
    <t>Pack 20</t>
  </si>
  <si>
    <t>Fusion Rifle</t>
  </si>
  <si>
    <t>Combat Engineer Fortifications</t>
  </si>
  <si>
    <t>Melee Attack Total</t>
  </si>
  <si>
    <t>81-150</t>
  </si>
  <si>
    <t>Light Pistol</t>
  </si>
  <si>
    <t>Mileau</t>
  </si>
  <si>
    <t>Fantasy</t>
  </si>
  <si>
    <t>Troll</t>
  </si>
  <si>
    <t>Culture, Subculture</t>
  </si>
  <si>
    <t>Chain Mail (Bronze)</t>
  </si>
  <si>
    <t>Command</t>
  </si>
  <si>
    <t>Combat Engineer Demolitions</t>
  </si>
  <si>
    <t>Plate Mail (Iron)</t>
  </si>
  <si>
    <t>Plate Mail (Steel)</t>
  </si>
  <si>
    <t>Empilon</t>
  </si>
  <si>
    <t>Fabulon</t>
  </si>
  <si>
    <t>Armorion</t>
  </si>
  <si>
    <t>Motorcycle Riding</t>
  </si>
  <si>
    <t>BP Rifle .75 caliber</t>
  </si>
  <si>
    <t>Bola</t>
  </si>
  <si>
    <t>Acting</t>
  </si>
  <si>
    <t>Submachinegun and 3 extra clips</t>
    <phoneticPr fontId="6"/>
  </si>
  <si>
    <t>Sniper Rifle and 3 extra clips</t>
    <phoneticPr fontId="6"/>
  </si>
  <si>
    <t>Katana</t>
    <phoneticPr fontId="6"/>
  </si>
  <si>
    <t>Kevlar Vest</t>
    <phoneticPr fontId="6"/>
  </si>
  <si>
    <t>Create/Alter Technical Devices</t>
    <phoneticPr fontId="6"/>
  </si>
  <si>
    <t>Knowledge</t>
    <phoneticPr fontId="6"/>
  </si>
  <si>
    <t>Athletics</t>
    <phoneticPr fontId="6"/>
  </si>
  <si>
    <t>Magic/Psychic</t>
    <phoneticPr fontId="6"/>
  </si>
  <si>
    <t>Psychic Energy</t>
  </si>
  <si>
    <t>Ships</t>
    <phoneticPr fontId="6"/>
  </si>
  <si>
    <t>Agility</t>
    <phoneticPr fontId="6"/>
  </si>
  <si>
    <t>Conceal</t>
  </si>
  <si>
    <t>Human</t>
  </si>
  <si>
    <t>Ork</t>
  </si>
  <si>
    <t>Pathology</t>
  </si>
  <si>
    <t xml:space="preserve">  Skin:</t>
  </si>
  <si>
    <t>No Spellcasting</t>
    <phoneticPr fontId="6"/>
  </si>
  <si>
    <t>D10</t>
    <phoneticPr fontId="6"/>
  </si>
  <si>
    <t>Initiative Bonus</t>
    <phoneticPr fontId="6"/>
  </si>
  <si>
    <t>Energy Rating</t>
  </si>
  <si>
    <t>Current Char Points</t>
  </si>
  <si>
    <t>Math, Basic</t>
  </si>
  <si>
    <t>Agility</t>
  </si>
  <si>
    <t>Battle-Axe</t>
  </si>
  <si>
    <t>Halberd</t>
  </si>
  <si>
    <t>Axe, Hand</t>
  </si>
  <si>
    <t>Axe, Lumber</t>
  </si>
  <si>
    <t>Style</t>
  </si>
  <si>
    <t>Char Points Earned</t>
  </si>
  <si>
    <t>Flail</t>
  </si>
  <si>
    <t>Laser Technology</t>
  </si>
  <si>
    <t>Law</t>
  </si>
  <si>
    <t>Imaging (Photography/Camera)</t>
  </si>
  <si>
    <t>Acrobatics</t>
    <phoneticPr fontId="6"/>
  </si>
  <si>
    <t>Knowledge</t>
    <phoneticPr fontId="6"/>
  </si>
  <si>
    <t>Performance</t>
    <phoneticPr fontId="6"/>
  </si>
  <si>
    <t>Guns</t>
    <phoneticPr fontId="6"/>
  </si>
  <si>
    <t>Computer Technician</t>
    <phoneticPr fontId="6"/>
  </si>
  <si>
    <t>Hacking</t>
    <phoneticPr fontId="6"/>
  </si>
  <si>
    <t>Heavy Weapons, General</t>
    <phoneticPr fontId="6"/>
  </si>
  <si>
    <t>Demolitions</t>
    <phoneticPr fontId="6"/>
  </si>
  <si>
    <t>Technical, General</t>
    <phoneticPr fontId="6"/>
  </si>
  <si>
    <t>Electronics</t>
    <phoneticPr fontId="6"/>
  </si>
  <si>
    <t>Restoration</t>
  </si>
  <si>
    <t>Bonus</t>
    <phoneticPr fontId="6"/>
  </si>
  <si>
    <t>Battledress</t>
  </si>
  <si>
    <t>Rifle 7.92 Kurz</t>
  </si>
  <si>
    <t>Gunsmith</t>
  </si>
  <si>
    <t>Steward</t>
  </si>
  <si>
    <t>Computer Programming</t>
  </si>
  <si>
    <t>Rifle .458 Winchester Magnum</t>
  </si>
  <si>
    <t>Character Name</t>
  </si>
  <si>
    <t>Player</t>
  </si>
  <si>
    <t>Tech 15 Laser Rifle 5mm</t>
  </si>
  <si>
    <t>Rifle 7mm Magnum</t>
  </si>
  <si>
    <t>Ring Mail (Steel)</t>
  </si>
  <si>
    <t>Veterinary Medicine</t>
    <phoneticPr fontId="6"/>
  </si>
  <si>
    <t>Forward Observer</t>
    <phoneticPr fontId="6"/>
  </si>
  <si>
    <t>Foil</t>
  </si>
  <si>
    <t>Frying Pan</t>
  </si>
  <si>
    <t>Gladius</t>
  </si>
  <si>
    <t>16 Gauge Shotgun 5</t>
  </si>
  <si>
    <t>16 Gauge Shotgun 4</t>
  </si>
  <si>
    <t>Anthropology</t>
  </si>
  <si>
    <t>Investigation</t>
  </si>
  <si>
    <t>Gauss Rifle 5mm</t>
  </si>
  <si>
    <t>Rifle .243</t>
  </si>
  <si>
    <t>Rifle .250</t>
  </si>
  <si>
    <t>Shuriken</t>
    <phoneticPr fontId="6"/>
  </si>
  <si>
    <t>SMG Uzi</t>
    <phoneticPr fontId="6"/>
  </si>
  <si>
    <t>Pistol .41 Magnum</t>
    <phoneticPr fontId="6"/>
  </si>
  <si>
    <t>Rifle .50 Barrett Sniper</t>
    <phoneticPr fontId="6"/>
  </si>
  <si>
    <t>Rifle .257</t>
  </si>
  <si>
    <t>451-1500</t>
  </si>
  <si>
    <t>Bayonet, Short</t>
  </si>
  <si>
    <t>Navigation</t>
  </si>
  <si>
    <t>Artist</t>
  </si>
  <si>
    <t>Gauss Rifle 6mm</t>
  </si>
  <si>
    <t>Streetwise</t>
  </si>
  <si>
    <t>12 Gauge Shotgun 9</t>
  </si>
  <si>
    <t>12 Gauge Shotgun 7</t>
  </si>
  <si>
    <t>12 Gauge Shotgun 6</t>
  </si>
  <si>
    <t>Math, Calculus</t>
    <phoneticPr fontId="6"/>
  </si>
  <si>
    <t>28 Gauge Shotgun 7</t>
  </si>
  <si>
    <t>Light Hide</t>
  </si>
  <si>
    <t>Additions</t>
  </si>
  <si>
    <t>Current</t>
  </si>
  <si>
    <t>Constitution</t>
  </si>
  <si>
    <t>Toughness</t>
  </si>
  <si>
    <t>Natural Armor Hide</t>
  </si>
  <si>
    <t>Spacecraft Architect</t>
  </si>
  <si>
    <t>Fermentation</t>
  </si>
  <si>
    <t>Scaled Leather</t>
  </si>
  <si>
    <t>Motorcycle Riding</t>
    <phoneticPr fontId="6"/>
  </si>
  <si>
    <t>Talented (Athletics) -3</t>
    <phoneticPr fontId="6"/>
  </si>
  <si>
    <t>Survival, General</t>
    <phoneticPr fontId="6"/>
  </si>
  <si>
    <t>Strong Willed - 3</t>
    <phoneticPr fontId="6"/>
  </si>
  <si>
    <t>No Countermagic</t>
    <phoneticPr fontId="6"/>
  </si>
  <si>
    <t>Melee Weapons, General</t>
    <phoneticPr fontId="6"/>
  </si>
  <si>
    <t>Unarmed Combat, General</t>
    <phoneticPr fontId="6"/>
  </si>
  <si>
    <t>Projectile Weapons, General</t>
    <phoneticPr fontId="6"/>
  </si>
  <si>
    <t>Depletion Points</t>
    <phoneticPr fontId="6"/>
  </si>
  <si>
    <t>Covert Operations, General</t>
    <phoneticPr fontId="6"/>
  </si>
  <si>
    <t>Stealth</t>
    <phoneticPr fontId="6"/>
  </si>
  <si>
    <t>Concealment</t>
    <phoneticPr fontId="6"/>
  </si>
  <si>
    <t>Social Influence, General</t>
    <phoneticPr fontId="6"/>
  </si>
  <si>
    <t>Negotiation</t>
    <phoneticPr fontId="6"/>
  </si>
  <si>
    <t>Mechanical, General</t>
    <phoneticPr fontId="6"/>
  </si>
  <si>
    <t>Medical, General</t>
    <phoneticPr fontId="6"/>
  </si>
  <si>
    <t>First Aid</t>
    <phoneticPr fontId="6"/>
  </si>
  <si>
    <t>Perception, General</t>
    <phoneticPr fontId="6"/>
  </si>
  <si>
    <t>Discipline</t>
    <phoneticPr fontId="6"/>
  </si>
  <si>
    <t>Mental Attributes</t>
  </si>
  <si>
    <t>Tech 14 Laser HMG 10mm</t>
  </si>
  <si>
    <t>Intuition/Psy Talent</t>
  </si>
  <si>
    <t>Psy Endurance</t>
  </si>
  <si>
    <t>Crossbow</t>
  </si>
  <si>
    <t>Gauss Pistol 5mm</t>
  </si>
  <si>
    <t>Gauss Pistol 6mm</t>
  </si>
  <si>
    <t>Decontamination</t>
  </si>
  <si>
    <t>Creature Analysis</t>
  </si>
  <si>
    <t>Physics, Temporal</t>
  </si>
  <si>
    <t>Pickpocket</t>
  </si>
  <si>
    <t>Holy Water Sprinkler</t>
  </si>
  <si>
    <t>Rifle 1.78 XM645 Flechette</t>
  </si>
  <si>
    <t>Secondary Attributes</t>
  </si>
  <si>
    <t>Rifle 4.7 Patronen DE11</t>
  </si>
  <si>
    <t>Katana (two hands)</t>
    <phoneticPr fontId="6"/>
  </si>
  <si>
    <t>Katana (two hands)</t>
    <phoneticPr fontId="6"/>
  </si>
  <si>
    <t>Katana (one hand)</t>
    <phoneticPr fontId="6"/>
  </si>
  <si>
    <t>Katana (one hand)</t>
    <phoneticPr fontId="6"/>
  </si>
  <si>
    <t>Seamanship</t>
  </si>
  <si>
    <t>Engineering, General</t>
    <phoneticPr fontId="6"/>
  </si>
  <si>
    <t>Psychic Abilities</t>
  </si>
  <si>
    <t>Submachine-gun</t>
    <phoneticPr fontId="6"/>
  </si>
  <si>
    <t>Bonus</t>
  </si>
  <si>
    <t>Melee Weapon Specialty</t>
    <phoneticPr fontId="6"/>
  </si>
  <si>
    <t>Pistol and 3 extra clips</t>
    <phoneticPr fontId="6"/>
  </si>
  <si>
    <t>Size</t>
  </si>
  <si>
    <t>Polearm/Staff</t>
  </si>
  <si>
    <t>Tech 14 Laser Assault Rifle 5mm</t>
  </si>
  <si>
    <t>Tech 17 Laser Assault Rifle 5mm</t>
  </si>
  <si>
    <t>Dagger/Knife</t>
  </si>
  <si>
    <t>12 Gauge Shotgun 5</t>
  </si>
  <si>
    <t>6 shuriken</t>
    <phoneticPr fontId="6"/>
  </si>
  <si>
    <t>1 pound C4</t>
    <phoneticPr fontId="6"/>
  </si>
  <si>
    <t>8 radio controlled detonators</t>
    <phoneticPr fontId="6"/>
  </si>
  <si>
    <t>1 radio for detonators</t>
    <phoneticPr fontId="6"/>
  </si>
  <si>
    <t>Doug</t>
    <phoneticPr fontId="6"/>
  </si>
  <si>
    <t>Human</t>
    <phoneticPr fontId="6"/>
  </si>
  <si>
    <t>Rayjek (Rage) Niedorf</t>
    <phoneticPr fontId="6"/>
  </si>
  <si>
    <t>Circle Rank</t>
    <phoneticPr fontId="6"/>
  </si>
  <si>
    <t>Martial Arts Hacker</t>
    <phoneticPr fontId="6"/>
  </si>
  <si>
    <t>Active Defense</t>
    <phoneticPr fontId="6"/>
  </si>
  <si>
    <t>SMG Ingram Model 10</t>
  </si>
  <si>
    <t>Culture, Main</t>
  </si>
  <si>
    <t>Pistol .22 Short</t>
  </si>
  <si>
    <t>Firearm Repair Modern</t>
    <phoneticPr fontId="6"/>
  </si>
  <si>
    <t>Firearm Repair Ultramodern</t>
    <phoneticPr fontId="6"/>
  </si>
  <si>
    <t>Defense</t>
    <phoneticPr fontId="6"/>
  </si>
  <si>
    <t>Combat Defense</t>
    <phoneticPr fontId="6"/>
  </si>
  <si>
    <t>Handicraft, General</t>
    <phoneticPr fontId="6"/>
  </si>
  <si>
    <t>Social</t>
    <phoneticPr fontId="6"/>
  </si>
  <si>
    <t>Med Range</t>
  </si>
  <si>
    <t>Presence</t>
    <phoneticPr fontId="6"/>
  </si>
  <si>
    <t>Oration</t>
    <phoneticPr fontId="6"/>
  </si>
  <si>
    <t>Sailboat</t>
  </si>
  <si>
    <t>Social Influence, General</t>
    <phoneticPr fontId="6"/>
  </si>
  <si>
    <t>Handicraft</t>
    <phoneticPr fontId="6"/>
  </si>
  <si>
    <t>Technical</t>
    <phoneticPr fontId="6"/>
  </si>
  <si>
    <t>Throwing</t>
    <phoneticPr fontId="6"/>
  </si>
  <si>
    <t>Submachine-gun</t>
    <phoneticPr fontId="6"/>
  </si>
</sst>
</file>

<file path=xl/styles.xml><?xml version="1.0" encoding="utf-8"?>
<styleSheet xmlns="http://schemas.openxmlformats.org/spreadsheetml/2006/main">
  <numFmts count="1">
    <numFmt numFmtId="164" formatCode="0.0"/>
  </numFmts>
  <fonts count="25">
    <font>
      <sz val="9"/>
      <name val="Geneva"/>
    </font>
    <font>
      <b/>
      <sz val="10"/>
      <name val="Verdana"/>
    </font>
    <font>
      <b/>
      <sz val="10"/>
      <name val="Verdana"/>
    </font>
    <font>
      <sz val="10"/>
      <name val="Verdana"/>
    </font>
    <font>
      <b/>
      <sz val="9"/>
      <name val="Geneva"/>
    </font>
    <font>
      <sz val="9"/>
      <name val="Geneva"/>
    </font>
    <font>
      <sz val="8"/>
      <name val="Geneva"/>
    </font>
    <font>
      <b/>
      <sz val="10"/>
      <name val="Geneva"/>
    </font>
    <font>
      <sz val="10"/>
      <name val="Geneva"/>
    </font>
    <font>
      <sz val="12"/>
      <name val="Bookman"/>
    </font>
    <font>
      <b/>
      <sz val="12"/>
      <name val="Bookman"/>
    </font>
    <font>
      <sz val="9"/>
      <color indexed="10"/>
      <name val="Geneva"/>
    </font>
    <font>
      <b/>
      <sz val="9"/>
      <color indexed="10"/>
      <name val="Geneva"/>
    </font>
    <font>
      <sz val="8"/>
      <name val="Helvetica"/>
    </font>
    <font>
      <sz val="8"/>
      <name val="Verdana"/>
    </font>
    <font>
      <sz val="12"/>
      <name val="Bookman Old Style"/>
    </font>
    <font>
      <b/>
      <sz val="12"/>
      <name val="Bookman Old Style"/>
    </font>
    <font>
      <sz val="12"/>
      <color indexed="10"/>
      <name val="Bookman Old Style"/>
    </font>
    <font>
      <sz val="14"/>
      <name val="Geneva"/>
    </font>
    <font>
      <b/>
      <sz val="9"/>
      <color indexed="18"/>
      <name val="Geneva"/>
    </font>
    <font>
      <sz val="9"/>
      <color indexed="18"/>
      <name val="Geneva"/>
    </font>
    <font>
      <b/>
      <sz val="11"/>
      <color indexed="18"/>
      <name val="Geneva"/>
    </font>
    <font>
      <b/>
      <sz val="10"/>
      <color indexed="10"/>
      <name val="Geneva"/>
    </font>
    <font>
      <b/>
      <sz val="10"/>
      <color indexed="18"/>
      <name val="Geneva"/>
    </font>
    <font>
      <sz val="10"/>
      <color indexed="18"/>
      <name val="Geneva"/>
    </font>
  </fonts>
  <fills count="5">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13"/>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87">
    <xf numFmtId="0" fontId="0" fillId="0" borderId="0" xfId="0"/>
    <xf numFmtId="0" fontId="0" fillId="0" borderId="42" xfId="0" applyBorder="1"/>
    <xf numFmtId="0" fontId="0" fillId="0" borderId="0" xfId="0" applyBorder="1"/>
    <xf numFmtId="0" fontId="0" fillId="0" borderId="32" xfId="0" applyBorder="1"/>
    <xf numFmtId="0" fontId="4" fillId="0" borderId="0" xfId="0" applyFont="1" applyAlignment="1">
      <alignment horizontal="center"/>
    </xf>
    <xf numFmtId="0" fontId="5" fillId="0" borderId="0" xfId="0" applyFont="1" applyAlignment="1">
      <alignment horizontal="center"/>
    </xf>
    <xf numFmtId="0" fontId="5" fillId="0" borderId="0" xfId="0" applyFont="1"/>
    <xf numFmtId="0" fontId="4" fillId="0" borderId="0" xfId="0" applyFont="1"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32" xfId="0" applyFill="1" applyBorder="1" applyAlignment="1">
      <alignment horizontal="center"/>
    </xf>
    <xf numFmtId="0" fontId="5" fillId="0" borderId="0" xfId="0" applyFont="1" applyFill="1" applyBorder="1" applyAlignment="1">
      <alignment horizontal="center"/>
    </xf>
    <xf numFmtId="0" fontId="5" fillId="0" borderId="32" xfId="0" applyFont="1" applyFill="1" applyBorder="1" applyAlignment="1">
      <alignment horizontal="center"/>
    </xf>
    <xf numFmtId="0" fontId="4" fillId="0" borderId="0" xfId="0" applyFont="1" applyBorder="1"/>
    <xf numFmtId="1" fontId="5" fillId="0" borderId="0" xfId="0" applyNumberFormat="1" applyFont="1" applyFill="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13" xfId="0" applyFont="1" applyBorder="1" applyAlignment="1">
      <alignment horizontal="center"/>
    </xf>
    <xf numFmtId="0" fontId="0" fillId="0" borderId="7" xfId="0" applyBorder="1"/>
    <xf numFmtId="0" fontId="0" fillId="0" borderId="12" xfId="0" applyBorder="1" applyAlignment="1">
      <alignment horizontal="center"/>
    </xf>
    <xf numFmtId="0" fontId="0" fillId="0" borderId="22" xfId="0" applyBorder="1"/>
    <xf numFmtId="0" fontId="0" fillId="0" borderId="23" xfId="0" applyBorder="1" applyAlignment="1">
      <alignment horizontal="center"/>
    </xf>
    <xf numFmtId="0" fontId="0" fillId="0" borderId="23" xfId="0" applyBorder="1"/>
    <xf numFmtId="0" fontId="0" fillId="0" borderId="7" xfId="0" applyFill="1" applyBorder="1"/>
    <xf numFmtId="0" fontId="0" fillId="0" borderId="12" xfId="0" applyFill="1" applyBorder="1" applyAlignment="1">
      <alignment horizontal="center"/>
    </xf>
    <xf numFmtId="0" fontId="0" fillId="0" borderId="22" xfId="0" applyFill="1" applyBorder="1"/>
    <xf numFmtId="0" fontId="0" fillId="0" borderId="23" xfId="0" applyFill="1" applyBorder="1" applyAlignment="1">
      <alignment horizontal="center"/>
    </xf>
    <xf numFmtId="0" fontId="0" fillId="0" borderId="24" xfId="0" applyFill="1" applyBorder="1" applyAlignment="1">
      <alignment horizontal="center"/>
    </xf>
    <xf numFmtId="0" fontId="4" fillId="0" borderId="1" xfId="0" applyFont="1" applyFill="1" applyBorder="1"/>
    <xf numFmtId="0" fontId="5" fillId="0" borderId="23" xfId="0" applyFont="1" applyFill="1" applyBorder="1" applyAlignment="1">
      <alignment horizontal="center"/>
    </xf>
    <xf numFmtId="0" fontId="5" fillId="0" borderId="7" xfId="0" applyFont="1" applyFill="1" applyBorder="1"/>
    <xf numFmtId="0" fontId="5" fillId="0" borderId="22" xfId="0" applyFont="1" applyFill="1" applyBorder="1"/>
    <xf numFmtId="0" fontId="0" fillId="0" borderId="2" xfId="0" applyBorder="1"/>
    <xf numFmtId="0" fontId="4" fillId="0" borderId="2" xfId="0" applyFont="1" applyBorder="1" applyAlignment="1">
      <alignment horizontal="right"/>
    </xf>
    <xf numFmtId="1" fontId="5" fillId="0" borderId="14" xfId="0" applyNumberFormat="1" applyFont="1" applyFill="1" applyBorder="1" applyAlignment="1">
      <alignment horizontal="center"/>
    </xf>
    <xf numFmtId="1" fontId="5" fillId="0" borderId="15" xfId="0" applyNumberFormat="1" applyFont="1" applyFill="1" applyBorder="1" applyAlignment="1">
      <alignment horizontal="center"/>
    </xf>
    <xf numFmtId="1" fontId="5" fillId="0" borderId="19" xfId="0" applyNumberFormat="1" applyFont="1" applyFill="1" applyBorder="1" applyAlignment="1">
      <alignment horizontal="center"/>
    </xf>
    <xf numFmtId="1" fontId="5" fillId="0" borderId="20" xfId="0" applyNumberFormat="1" applyFont="1" applyFill="1" applyBorder="1" applyAlignment="1">
      <alignment horizontal="center"/>
    </xf>
    <xf numFmtId="0" fontId="0" fillId="0" borderId="37" xfId="0" applyFill="1" applyBorder="1"/>
    <xf numFmtId="0" fontId="0" fillId="0" borderId="33" xfId="0" applyFill="1" applyBorder="1" applyAlignment="1">
      <alignment horizontal="center"/>
    </xf>
    <xf numFmtId="0" fontId="5" fillId="0" borderId="37" xfId="0" applyFont="1" applyFill="1" applyBorder="1"/>
    <xf numFmtId="0" fontId="0" fillId="0" borderId="32" xfId="0" applyFill="1" applyBorder="1"/>
    <xf numFmtId="0" fontId="0" fillId="0" borderId="37" xfId="0" applyBorder="1"/>
    <xf numFmtId="1" fontId="5" fillId="0" borderId="42" xfId="0" applyNumberFormat="1" applyFont="1" applyFill="1" applyBorder="1" applyAlignment="1">
      <alignment horizontal="center"/>
    </xf>
    <xf numFmtId="1" fontId="0" fillId="0" borderId="0" xfId="0" applyNumberFormat="1" applyBorder="1" applyAlignment="1">
      <alignment horizontal="center"/>
    </xf>
    <xf numFmtId="0" fontId="4" fillId="0" borderId="2" xfId="0" applyFont="1" applyBorder="1"/>
    <xf numFmtId="0" fontId="4" fillId="0" borderId="7" xfId="0" applyFont="1" applyBorder="1"/>
    <xf numFmtId="0" fontId="4" fillId="0" borderId="0" xfId="0" applyFont="1" applyBorder="1" applyAlignment="1">
      <alignment horizontal="right"/>
    </xf>
    <xf numFmtId="0" fontId="0" fillId="0" borderId="12" xfId="0" applyBorder="1"/>
    <xf numFmtId="0" fontId="4" fillId="0" borderId="7" xfId="0" applyFont="1" applyFill="1" applyBorder="1"/>
    <xf numFmtId="1" fontId="5" fillId="0" borderId="16" xfId="0" applyNumberFormat="1" applyFont="1" applyFill="1" applyBorder="1" applyAlignment="1">
      <alignment horizontal="center"/>
    </xf>
    <xf numFmtId="1" fontId="5" fillId="0" borderId="6"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21" xfId="0" applyNumberFormat="1" applyFont="1" applyFill="1" applyBorder="1" applyAlignment="1">
      <alignment horizontal="center"/>
    </xf>
    <xf numFmtId="1" fontId="5" fillId="0" borderId="30" xfId="0" applyNumberFormat="1" applyFont="1" applyFill="1" applyBorder="1" applyAlignment="1">
      <alignment horizontal="center"/>
    </xf>
    <xf numFmtId="1" fontId="5" fillId="0" borderId="0" xfId="0" quotePrefix="1" applyNumberFormat="1" applyFont="1" applyFill="1" applyBorder="1" applyAlignment="1">
      <alignment horizontal="center"/>
    </xf>
    <xf numFmtId="1" fontId="5" fillId="0" borderId="42" xfId="0" quotePrefix="1" applyNumberFormat="1" applyFont="1" applyFill="1" applyBorder="1" applyAlignment="1">
      <alignment horizontal="center"/>
    </xf>
    <xf numFmtId="1" fontId="5" fillId="0" borderId="12" xfId="0" applyNumberFormat="1" applyFont="1" applyFill="1" applyBorder="1" applyAlignment="1">
      <alignment horizontal="center"/>
    </xf>
    <xf numFmtId="1" fontId="5" fillId="0" borderId="9"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32" xfId="0" quotePrefix="1" applyNumberFormat="1" applyFont="1" applyFill="1" applyBorder="1" applyAlignment="1">
      <alignment horizontal="center"/>
    </xf>
    <xf numFmtId="1" fontId="5" fillId="0" borderId="32" xfId="0" applyNumberFormat="1" applyFont="1" applyFill="1" applyBorder="1" applyAlignment="1">
      <alignment horizontal="center"/>
    </xf>
    <xf numFmtId="1" fontId="5" fillId="0" borderId="9" xfId="0" quotePrefix="1" applyNumberFormat="1" applyFont="1" applyFill="1" applyBorder="1" applyAlignment="1">
      <alignment horizontal="center"/>
    </xf>
    <xf numFmtId="1" fontId="5" fillId="0" borderId="33" xfId="0" applyNumberFormat="1" applyFont="1" applyFill="1" applyBorder="1" applyAlignment="1">
      <alignment horizontal="center"/>
    </xf>
    <xf numFmtId="1" fontId="5" fillId="0" borderId="43" xfId="0" applyNumberFormat="1" applyFont="1" applyFill="1" applyBorder="1" applyAlignment="1">
      <alignment horizontal="center"/>
    </xf>
    <xf numFmtId="1" fontId="5" fillId="0" borderId="36" xfId="0" applyNumberFormat="1" applyFont="1" applyFill="1" applyBorder="1" applyAlignment="1">
      <alignment horizontal="center"/>
    </xf>
    <xf numFmtId="1" fontId="5" fillId="0" borderId="23" xfId="0" applyNumberFormat="1" applyFont="1" applyFill="1" applyBorder="1" applyAlignment="1">
      <alignment horizontal="center"/>
    </xf>
    <xf numFmtId="1" fontId="5" fillId="0" borderId="24" xfId="0" applyNumberFormat="1" applyFont="1" applyFill="1" applyBorder="1" applyAlignment="1">
      <alignment horizontal="center"/>
    </xf>
    <xf numFmtId="1" fontId="0" fillId="0" borderId="0" xfId="0" applyNumberFormat="1" applyFill="1" applyBorder="1"/>
    <xf numFmtId="1" fontId="0" fillId="0" borderId="12" xfId="0" applyNumberFormat="1" applyFill="1" applyBorder="1"/>
    <xf numFmtId="1" fontId="5" fillId="0" borderId="2" xfId="0" applyNumberFormat="1" applyFont="1" applyFill="1" applyBorder="1" applyAlignment="1">
      <alignment horizontal="center"/>
    </xf>
    <xf numFmtId="0" fontId="0" fillId="0" borderId="2" xfId="0" applyBorder="1" applyAlignment="1">
      <alignment horizontal="center"/>
    </xf>
    <xf numFmtId="0" fontId="0" fillId="0" borderId="24" xfId="0" applyBorder="1"/>
    <xf numFmtId="1" fontId="0" fillId="0" borderId="32" xfId="0" applyNumberFormat="1" applyFill="1" applyBorder="1" applyAlignment="1">
      <alignment horizontal="center"/>
    </xf>
    <xf numFmtId="0" fontId="0" fillId="0" borderId="7" xfId="0" applyFill="1" applyBorder="1" applyAlignment="1">
      <alignment horizontal="right"/>
    </xf>
    <xf numFmtId="1" fontId="0" fillId="0" borderId="0" xfId="0" applyNumberFormat="1" applyFill="1" applyBorder="1" applyAlignment="1">
      <alignment horizontal="center"/>
    </xf>
    <xf numFmtId="1" fontId="0" fillId="0" borderId="23" xfId="0" applyNumberFormat="1" applyFill="1" applyBorder="1" applyAlignment="1">
      <alignment horizontal="center"/>
    </xf>
    <xf numFmtId="0" fontId="5" fillId="0" borderId="0" xfId="0" applyFont="1" applyBorder="1" applyAlignment="1"/>
    <xf numFmtId="9" fontId="0" fillId="0" borderId="0" xfId="0" applyNumberFormat="1" applyBorder="1"/>
    <xf numFmtId="0" fontId="5" fillId="0" borderId="0" xfId="0" applyFont="1" applyBorder="1"/>
    <xf numFmtId="0" fontId="0" fillId="0" borderId="13" xfId="0" applyBorder="1"/>
    <xf numFmtId="0" fontId="4" fillId="0" borderId="4" xfId="0" applyFont="1" applyBorder="1"/>
    <xf numFmtId="0" fontId="0" fillId="0" borderId="49" xfId="0" applyBorder="1" applyAlignment="1">
      <alignment horizontal="center"/>
    </xf>
    <xf numFmtId="0" fontId="4" fillId="0" borderId="32" xfId="0" applyFont="1" applyBorder="1" applyAlignment="1">
      <alignment horizontal="right"/>
    </xf>
    <xf numFmtId="0" fontId="0" fillId="0" borderId="33" xfId="0" applyBorder="1"/>
    <xf numFmtId="0" fontId="5" fillId="0" borderId="7" xfId="0" applyFont="1" applyFill="1" applyBorder="1" applyAlignment="1">
      <alignment horizontal="center"/>
    </xf>
    <xf numFmtId="1" fontId="4" fillId="0" borderId="1" xfId="0" applyNumberFormat="1" applyFont="1" applyFill="1" applyBorder="1" applyAlignment="1"/>
    <xf numFmtId="0" fontId="0" fillId="0" borderId="39" xfId="0" applyFill="1" applyBorder="1" applyAlignment="1">
      <alignment horizontal="center"/>
    </xf>
    <xf numFmtId="0" fontId="0" fillId="0" borderId="39" xfId="0" applyFill="1" applyBorder="1"/>
    <xf numFmtId="0" fontId="4" fillId="0" borderId="0" xfId="0" applyFont="1" applyAlignment="1">
      <alignment horizontal="center" textRotation="90"/>
    </xf>
    <xf numFmtId="0" fontId="5" fillId="0" borderId="0" xfId="0" quotePrefix="1" applyFont="1" applyAlignment="1">
      <alignment horizontal="center"/>
    </xf>
    <xf numFmtId="0" fontId="7" fillId="0" borderId="0" xfId="0" applyFont="1"/>
    <xf numFmtId="0" fontId="8" fillId="0" borderId="0" xfId="0" applyFont="1" applyAlignment="1">
      <alignment horizontal="center"/>
    </xf>
    <xf numFmtId="0" fontId="8" fillId="0" borderId="0" xfId="0" applyFont="1"/>
    <xf numFmtId="0" fontId="4" fillId="0" borderId="0" xfId="0" applyFont="1"/>
    <xf numFmtId="0" fontId="10" fillId="0" borderId="0" xfId="0" applyFont="1" applyAlignment="1">
      <alignment horizontal="center" vertical="top" wrapText="1"/>
    </xf>
    <xf numFmtId="0" fontId="10" fillId="0" borderId="0" xfId="0" applyFont="1" applyAlignment="1">
      <alignment vertical="top" wrapText="1"/>
    </xf>
    <xf numFmtId="0" fontId="9" fillId="0" borderId="0" xfId="0" applyFont="1" applyAlignment="1">
      <alignment horizontal="center" wrapText="1"/>
    </xf>
    <xf numFmtId="0" fontId="9" fillId="0" borderId="0" xfId="0" applyFont="1" applyAlignment="1">
      <alignment horizontal="center" vertical="top" wrapText="1"/>
    </xf>
    <xf numFmtId="0" fontId="5" fillId="0" borderId="0" xfId="0" applyFont="1" applyAlignment="1"/>
    <xf numFmtId="0" fontId="0" fillId="0" borderId="0" xfId="0" applyAlignment="1"/>
    <xf numFmtId="0" fontId="0" fillId="0" borderId="0" xfId="0" applyAlignment="1">
      <alignment horizontal="center"/>
    </xf>
    <xf numFmtId="0" fontId="4" fillId="0" borderId="33" xfId="0" applyFont="1" applyFill="1" applyBorder="1" applyAlignment="1">
      <alignment horizontal="center"/>
    </xf>
    <xf numFmtId="0" fontId="4" fillId="0" borderId="24" xfId="0" applyFont="1" applyFill="1" applyBorder="1" applyAlignment="1">
      <alignment horizontal="center"/>
    </xf>
    <xf numFmtId="0" fontId="10" fillId="0" borderId="0" xfId="0" applyFont="1"/>
    <xf numFmtId="0" fontId="10" fillId="0" borderId="0" xfId="0" applyFont="1" applyAlignment="1">
      <alignment horizontal="center"/>
    </xf>
    <xf numFmtId="0" fontId="9" fillId="0" borderId="0" xfId="0" applyFont="1"/>
    <xf numFmtId="0" fontId="9" fillId="0" borderId="0" xfId="0" applyFont="1" applyAlignment="1">
      <alignment horizontal="center"/>
    </xf>
    <xf numFmtId="0" fontId="0" fillId="0" borderId="0" xfId="0" applyFill="1" applyBorder="1" applyAlignment="1">
      <alignment horizontal="right"/>
    </xf>
    <xf numFmtId="0" fontId="4" fillId="0" borderId="0" xfId="0" applyFont="1" applyFill="1" applyBorder="1" applyAlignment="1">
      <alignment horizontal="center"/>
    </xf>
    <xf numFmtId="1" fontId="4" fillId="0" borderId="0" xfId="0" applyNumberFormat="1" applyFont="1"/>
    <xf numFmtId="1" fontId="5" fillId="0" borderId="0" xfId="0" applyNumberFormat="1" applyFont="1" applyAlignment="1">
      <alignment horizontal="center"/>
    </xf>
    <xf numFmtId="1" fontId="0" fillId="0" borderId="0" xfId="0" applyNumberFormat="1" applyAlignment="1">
      <alignment horizontal="center"/>
    </xf>
    <xf numFmtId="0" fontId="7" fillId="0" borderId="0" xfId="0" applyFont="1" applyAlignment="1">
      <alignment horizontal="center"/>
    </xf>
    <xf numFmtId="0" fontId="8" fillId="0" borderId="0" xfId="0" applyFont="1" applyBorder="1"/>
    <xf numFmtId="0" fontId="0" fillId="0" borderId="0" xfId="0" quotePrefix="1" applyAlignment="1">
      <alignment horizontal="center"/>
    </xf>
    <xf numFmtId="16" fontId="0" fillId="0" borderId="0" xfId="0" quotePrefix="1" applyNumberFormat="1" applyAlignment="1">
      <alignment horizontal="center"/>
    </xf>
    <xf numFmtId="0" fontId="4" fillId="0" borderId="2" xfId="0" applyFont="1" applyFill="1" applyBorder="1" applyAlignment="1">
      <alignment horizontal="center"/>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13" xfId="0" applyFont="1" applyFill="1" applyBorder="1" applyAlignment="1">
      <alignment horizontal="center"/>
    </xf>
    <xf numFmtId="1" fontId="4" fillId="0" borderId="40" xfId="0" applyNumberFormat="1" applyFont="1" applyFill="1" applyBorder="1" applyAlignment="1">
      <alignment horizontal="center"/>
    </xf>
    <xf numFmtId="1" fontId="4" fillId="0" borderId="41" xfId="0" applyNumberFormat="1" applyFont="1" applyFill="1" applyBorder="1" applyAlignment="1">
      <alignment horizontal="center"/>
    </xf>
    <xf numFmtId="1" fontId="4" fillId="0" borderId="2" xfId="0" applyNumberFormat="1" applyFont="1" applyFill="1" applyBorder="1" applyAlignment="1">
      <alignment horizontal="center"/>
    </xf>
    <xf numFmtId="1" fontId="4" fillId="0" borderId="13" xfId="0" applyNumberFormat="1" applyFont="1" applyFill="1" applyBorder="1" applyAlignment="1">
      <alignment horizontal="center"/>
    </xf>
    <xf numFmtId="0" fontId="4" fillId="0" borderId="0" xfId="0" applyFont="1" applyAlignment="1">
      <alignment horizontal="left"/>
    </xf>
    <xf numFmtId="0" fontId="0" fillId="0" borderId="0" xfId="0" applyAlignment="1">
      <alignment horizontal="left"/>
    </xf>
    <xf numFmtId="0" fontId="4" fillId="0" borderId="0" xfId="0" applyFont="1" applyFill="1" applyBorder="1"/>
    <xf numFmtId="0" fontId="5" fillId="0" borderId="0" xfId="0" applyFont="1" applyFill="1" applyBorder="1"/>
    <xf numFmtId="0" fontId="4" fillId="0" borderId="45" xfId="0" applyFont="1" applyBorder="1"/>
    <xf numFmtId="0" fontId="4" fillId="0" borderId="46" xfId="0" applyFont="1" applyFill="1" applyBorder="1"/>
    <xf numFmtId="0" fontId="0" fillId="0" borderId="46" xfId="0" applyFill="1" applyBorder="1"/>
    <xf numFmtId="0" fontId="5" fillId="0" borderId="46" xfId="0" applyFont="1" applyFill="1" applyBorder="1"/>
    <xf numFmtId="0" fontId="0" fillId="0" borderId="54" xfId="0" applyBorder="1"/>
    <xf numFmtId="0" fontId="4" fillId="0" borderId="45" xfId="0" applyFont="1" applyFill="1" applyBorder="1" applyAlignment="1">
      <alignment horizontal="left"/>
    </xf>
    <xf numFmtId="0" fontId="4" fillId="0" borderId="45" xfId="0" applyFont="1" applyFill="1" applyBorder="1"/>
    <xf numFmtId="1" fontId="5" fillId="0" borderId="0" xfId="0" applyNumberFormat="1" applyFont="1" applyFill="1" applyBorder="1" applyAlignment="1"/>
    <xf numFmtId="0" fontId="0" fillId="0" borderId="0" xfId="0" applyBorder="1" applyAlignment="1"/>
    <xf numFmtId="1" fontId="4" fillId="0" borderId="1" xfId="0" applyNumberFormat="1" applyFont="1" applyFill="1" applyBorder="1" applyAlignment="1">
      <alignment horizontal="center"/>
    </xf>
    <xf numFmtId="1" fontId="5" fillId="0" borderId="7" xfId="0" applyNumberFormat="1" applyFont="1" applyFill="1" applyBorder="1" applyAlignment="1"/>
    <xf numFmtId="1" fontId="5" fillId="0" borderId="12" xfId="0" applyNumberFormat="1" applyFont="1" applyFill="1" applyBorder="1" applyAlignment="1"/>
    <xf numFmtId="1" fontId="5" fillId="0" borderId="2" xfId="0" applyNumberFormat="1" applyFont="1" applyFill="1" applyBorder="1" applyAlignment="1"/>
    <xf numFmtId="1" fontId="5" fillId="0" borderId="13" xfId="0" applyNumberFormat="1" applyFont="1" applyFill="1" applyBorder="1" applyAlignment="1"/>
    <xf numFmtId="0" fontId="4" fillId="0" borderId="23" xfId="0" applyFont="1" applyBorder="1" applyAlignment="1">
      <alignment horizontal="right"/>
    </xf>
    <xf numFmtId="0" fontId="5" fillId="0" borderId="47" xfId="0" applyFont="1" applyFill="1" applyBorder="1"/>
    <xf numFmtId="0" fontId="5" fillId="0" borderId="46" xfId="0" applyFont="1" applyBorder="1"/>
    <xf numFmtId="0" fontId="5" fillId="0" borderId="54" xfId="0" applyFont="1" applyFill="1" applyBorder="1"/>
    <xf numFmtId="0" fontId="0" fillId="0" borderId="32" xfId="0" applyFill="1" applyBorder="1" applyAlignment="1"/>
    <xf numFmtId="0" fontId="0" fillId="0" borderId="23" xfId="0" applyFill="1" applyBorder="1" applyAlignment="1"/>
    <xf numFmtId="0" fontId="0" fillId="0" borderId="0" xfId="0" applyBorder="1" applyAlignment="1">
      <alignment horizontal="right"/>
    </xf>
    <xf numFmtId="0" fontId="0" fillId="0" borderId="2" xfId="0" applyFill="1" applyBorder="1"/>
    <xf numFmtId="0" fontId="4" fillId="0" borderId="37" xfId="0" applyFont="1" applyBorder="1"/>
    <xf numFmtId="0" fontId="4" fillId="0" borderId="48" xfId="0" applyFont="1" applyBorder="1"/>
    <xf numFmtId="0" fontId="0" fillId="0" borderId="22" xfId="0" applyBorder="1" applyAlignment="1">
      <alignment horizontal="center"/>
    </xf>
    <xf numFmtId="0" fontId="0" fillId="0" borderId="49" xfId="0" applyBorder="1"/>
    <xf numFmtId="1" fontId="5" fillId="0" borderId="13" xfId="0" applyNumberFormat="1" applyFont="1" applyBorder="1" applyAlignment="1">
      <alignment horizontal="center"/>
    </xf>
    <xf numFmtId="0" fontId="5" fillId="0" borderId="12" xfId="0" applyFont="1" applyBorder="1" applyAlignment="1">
      <alignment horizontal="center"/>
    </xf>
    <xf numFmtId="1" fontId="5" fillId="0" borderId="41" xfId="0" applyNumberFormat="1" applyFont="1" applyBorder="1" applyAlignment="1">
      <alignment horizontal="center"/>
    </xf>
    <xf numFmtId="1" fontId="5" fillId="0" borderId="10" xfId="0" applyNumberFormat="1" applyFont="1" applyBorder="1" applyAlignment="1">
      <alignment horizontal="center"/>
    </xf>
    <xf numFmtId="1" fontId="0" fillId="0" borderId="6" xfId="0" applyNumberFormat="1" applyBorder="1"/>
    <xf numFmtId="0" fontId="0" fillId="0" borderId="50" xfId="0" applyBorder="1" applyAlignment="1">
      <alignment horizontal="center"/>
    </xf>
    <xf numFmtId="0" fontId="0" fillId="0" borderId="51" xfId="0" applyBorder="1" applyAlignment="1">
      <alignment horizontal="center"/>
    </xf>
    <xf numFmtId="1" fontId="5" fillId="0" borderId="52" xfId="0" applyNumberFormat="1" applyFont="1" applyFill="1" applyBorder="1" applyAlignment="1">
      <alignment horizontal="center"/>
    </xf>
    <xf numFmtId="1" fontId="0" fillId="0" borderId="18" xfId="0" applyNumberFormat="1" applyBorder="1"/>
    <xf numFmtId="1" fontId="5" fillId="0" borderId="30" xfId="0" applyNumberFormat="1" applyFont="1" applyBorder="1" applyAlignment="1">
      <alignment horizontal="center"/>
    </xf>
    <xf numFmtId="0" fontId="4" fillId="0" borderId="0" xfId="0" applyFont="1" applyFill="1" applyBorder="1" applyAlignment="1">
      <alignment horizontal="right"/>
    </xf>
    <xf numFmtId="0" fontId="9" fillId="0" borderId="0" xfId="0" applyFont="1" applyFill="1" applyAlignment="1">
      <alignment horizontal="center"/>
    </xf>
    <xf numFmtId="1" fontId="0" fillId="0" borderId="0" xfId="0" quotePrefix="1" applyNumberFormat="1" applyAlignment="1">
      <alignment horizontal="center"/>
    </xf>
    <xf numFmtId="0" fontId="4" fillId="0" borderId="2" xfId="0" applyFont="1" applyFill="1" applyBorder="1"/>
    <xf numFmtId="0" fontId="4" fillId="0" borderId="2" xfId="0" applyFont="1" applyFill="1" applyBorder="1" applyAlignment="1">
      <alignment horizontal="right"/>
    </xf>
    <xf numFmtId="0" fontId="0" fillId="0" borderId="3" xfId="0" applyFill="1" applyBorder="1" applyAlignment="1">
      <alignment horizontal="center"/>
    </xf>
    <xf numFmtId="0" fontId="0" fillId="0" borderId="0" xfId="0" applyFill="1"/>
    <xf numFmtId="0" fontId="0" fillId="0" borderId="4" xfId="0" applyFill="1" applyBorder="1"/>
    <xf numFmtId="1" fontId="0" fillId="0" borderId="5" xfId="0" applyNumberFormat="1" applyFill="1" applyBorder="1"/>
    <xf numFmtId="0" fontId="5" fillId="0" borderId="0" xfId="0" applyFont="1" applyFill="1" applyAlignment="1">
      <alignment horizontal="center"/>
    </xf>
    <xf numFmtId="0" fontId="4" fillId="0" borderId="0" xfId="0" applyFont="1" applyFill="1" applyAlignment="1">
      <alignment horizontal="center"/>
    </xf>
    <xf numFmtId="0" fontId="5" fillId="0" borderId="0" xfId="0" applyFont="1" applyFill="1"/>
    <xf numFmtId="0" fontId="0" fillId="0" borderId="0" xfId="0" applyFill="1" applyAlignment="1">
      <alignment horizontal="right"/>
    </xf>
    <xf numFmtId="0" fontId="0" fillId="0" borderId="8" xfId="0" applyFill="1" applyBorder="1" applyAlignment="1">
      <alignment horizontal="center"/>
    </xf>
    <xf numFmtId="1" fontId="0" fillId="0" borderId="9" xfId="0" applyNumberFormat="1" applyFill="1" applyBorder="1"/>
    <xf numFmtId="0" fontId="0" fillId="0" borderId="10" xfId="0" applyFill="1" applyBorder="1"/>
    <xf numFmtId="1" fontId="0" fillId="0" borderId="11"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xf numFmtId="0" fontId="4" fillId="0" borderId="13" xfId="0" applyFont="1" applyFill="1" applyBorder="1"/>
    <xf numFmtId="0" fontId="5" fillId="0" borderId="7" xfId="0" applyFont="1" applyFill="1" applyBorder="1" applyAlignment="1"/>
    <xf numFmtId="2" fontId="0" fillId="0" borderId="0" xfId="0" applyNumberFormat="1" applyFill="1"/>
    <xf numFmtId="2" fontId="0" fillId="0" borderId="12" xfId="0" applyNumberFormat="1" applyFill="1" applyBorder="1" applyAlignment="1">
      <alignment horizontal="center"/>
    </xf>
    <xf numFmtId="0" fontId="0" fillId="0" borderId="23" xfId="0" applyFill="1" applyBorder="1"/>
    <xf numFmtId="0" fontId="4" fillId="0" borderId="25" xfId="0" applyFont="1" applyFill="1" applyBorder="1"/>
    <xf numFmtId="0" fontId="0" fillId="0" borderId="26" xfId="0" applyFill="1" applyBorder="1"/>
    <xf numFmtId="1" fontId="4" fillId="0" borderId="27" xfId="0" applyNumberFormat="1" applyFont="1" applyFill="1" applyBorder="1" applyAlignment="1">
      <alignment horizontal="center"/>
    </xf>
    <xf numFmtId="0" fontId="0" fillId="0" borderId="28" xfId="0" applyFill="1" applyBorder="1"/>
    <xf numFmtId="0" fontId="4" fillId="0" borderId="7" xfId="0" applyFont="1" applyFill="1" applyBorder="1" applyAlignment="1"/>
    <xf numFmtId="0" fontId="4" fillId="0" borderId="29" xfId="0" applyFont="1" applyFill="1" applyBorder="1" applyAlignment="1">
      <alignment horizontal="center"/>
    </xf>
    <xf numFmtId="0" fontId="0" fillId="0" borderId="30" xfId="0" applyFill="1" applyBorder="1" applyAlignment="1">
      <alignment horizontal="center"/>
    </xf>
    <xf numFmtId="0" fontId="4" fillId="0" borderId="12" xfId="0" applyFont="1" applyFill="1" applyBorder="1" applyAlignment="1">
      <alignment horizontal="center"/>
    </xf>
    <xf numFmtId="0" fontId="5" fillId="0" borderId="0" xfId="0" applyFont="1" applyFill="1" applyBorder="1" applyAlignment="1"/>
    <xf numFmtId="0" fontId="0" fillId="0" borderId="30" xfId="0" applyFill="1" applyBorder="1" applyAlignment="1">
      <alignment horizontal="right"/>
    </xf>
    <xf numFmtId="0" fontId="0" fillId="0" borderId="29" xfId="0" applyFill="1" applyBorder="1"/>
    <xf numFmtId="0" fontId="5" fillId="0" borderId="32" xfId="0" applyFont="1" applyFill="1" applyBorder="1" applyAlignment="1"/>
    <xf numFmtId="9" fontId="0" fillId="0" borderId="10" xfId="0" applyNumberFormat="1" applyFill="1" applyBorder="1"/>
    <xf numFmtId="9" fontId="0" fillId="0" borderId="30" xfId="0" applyNumberFormat="1" applyFill="1" applyBorder="1"/>
    <xf numFmtId="0" fontId="5" fillId="0" borderId="0" xfId="0" applyFont="1" applyFill="1" applyAlignment="1"/>
    <xf numFmtId="0" fontId="0" fillId="0" borderId="0" xfId="0" applyFill="1" applyBorder="1" applyAlignment="1"/>
    <xf numFmtId="0" fontId="0" fillId="0" borderId="35" xfId="0" applyFill="1" applyBorder="1"/>
    <xf numFmtId="9" fontId="0" fillId="0" borderId="36" xfId="0" applyNumberFormat="1" applyFill="1" applyBorder="1"/>
    <xf numFmtId="0" fontId="4" fillId="0" borderId="1" xfId="0" applyFont="1" applyFill="1" applyBorder="1" applyAlignment="1"/>
    <xf numFmtId="0" fontId="12" fillId="0" borderId="7" xfId="0" applyFont="1" applyFill="1" applyBorder="1"/>
    <xf numFmtId="0" fontId="9" fillId="0" borderId="15" xfId="0" applyFont="1" applyBorder="1" applyAlignment="1">
      <alignment horizontal="center" vertical="top" wrapText="1"/>
    </xf>
    <xf numFmtId="0" fontId="9" fillId="0" borderId="27" xfId="0" applyFont="1" applyBorder="1" applyAlignment="1">
      <alignment horizontal="center" vertical="top" wrapText="1"/>
    </xf>
    <xf numFmtId="0" fontId="9" fillId="0" borderId="44" xfId="0" applyFont="1" applyBorder="1" applyAlignment="1">
      <alignment horizontal="center" vertical="top" wrapText="1"/>
    </xf>
    <xf numFmtId="0" fontId="9" fillId="0" borderId="10" xfId="0" applyFont="1" applyBorder="1" applyAlignment="1">
      <alignment horizontal="center" vertical="top" wrapText="1"/>
    </xf>
    <xf numFmtId="0" fontId="0" fillId="0" borderId="31" xfId="0" applyFill="1" applyBorder="1"/>
    <xf numFmtId="0" fontId="0" fillId="0" borderId="44" xfId="0" applyFill="1" applyBorder="1"/>
    <xf numFmtId="1" fontId="12" fillId="0" borderId="0" xfId="0" applyNumberFormat="1" applyFont="1" applyFill="1" applyBorder="1" applyAlignment="1">
      <alignment horizontal="center"/>
    </xf>
    <xf numFmtId="0" fontId="5" fillId="2" borderId="47" xfId="0" applyFont="1" applyFill="1" applyBorder="1"/>
    <xf numFmtId="0" fontId="5" fillId="2" borderId="46" xfId="0" applyFont="1" applyFill="1" applyBorder="1" applyAlignment="1"/>
    <xf numFmtId="0" fontId="5" fillId="2" borderId="46" xfId="0" applyFont="1" applyFill="1" applyBorder="1"/>
    <xf numFmtId="0" fontId="5" fillId="2" borderId="54" xfId="0" applyFont="1" applyFill="1" applyBorder="1"/>
    <xf numFmtId="0" fontId="5" fillId="2" borderId="37" xfId="0" applyFont="1" applyFill="1" applyBorder="1"/>
    <xf numFmtId="0" fontId="0" fillId="2" borderId="37" xfId="0" applyFill="1" applyBorder="1"/>
    <xf numFmtId="0" fontId="0" fillId="2" borderId="38" xfId="0" applyFill="1" applyBorder="1"/>
    <xf numFmtId="0" fontId="0" fillId="2" borderId="22" xfId="0" applyFill="1" applyBorder="1"/>
    <xf numFmtId="0" fontId="0" fillId="2" borderId="39" xfId="0" applyFill="1" applyBorder="1" applyAlignment="1">
      <alignment horizontal="center"/>
    </xf>
    <xf numFmtId="0" fontId="0" fillId="2" borderId="32" xfId="0" applyFill="1" applyBorder="1" applyAlignment="1">
      <alignment horizontal="center"/>
    </xf>
    <xf numFmtId="0" fontId="0" fillId="2" borderId="23" xfId="0" applyFill="1" applyBorder="1" applyAlignment="1">
      <alignment horizontal="center"/>
    </xf>
    <xf numFmtId="0" fontId="0" fillId="2" borderId="7" xfId="0" applyFill="1" applyBorder="1"/>
    <xf numFmtId="0" fontId="0" fillId="2" borderId="2" xfId="0" applyFill="1" applyBorder="1"/>
    <xf numFmtId="0" fontId="0" fillId="2" borderId="0" xfId="0" applyFill="1" applyBorder="1"/>
    <xf numFmtId="1" fontId="5" fillId="2" borderId="14" xfId="0" applyNumberFormat="1" applyFont="1" applyFill="1" applyBorder="1" applyAlignment="1">
      <alignment horizontal="center"/>
    </xf>
    <xf numFmtId="1" fontId="5" fillId="2" borderId="17" xfId="0" applyNumberFormat="1" applyFont="1" applyFill="1" applyBorder="1" applyAlignment="1">
      <alignment horizontal="center"/>
    </xf>
    <xf numFmtId="1" fontId="5" fillId="2" borderId="19" xfId="0" applyNumberFormat="1" applyFont="1" applyFill="1" applyBorder="1" applyAlignment="1">
      <alignment horizontal="center"/>
    </xf>
    <xf numFmtId="0" fontId="0" fillId="2" borderId="2" xfId="0" applyFill="1" applyBorder="1" applyAlignment="1">
      <alignment horizontal="center"/>
    </xf>
    <xf numFmtId="0" fontId="0" fillId="0" borderId="0" xfId="0" applyAlignment="1">
      <alignment horizontal="right"/>
    </xf>
    <xf numFmtId="0" fontId="4" fillId="0" borderId="33" xfId="0" applyFont="1" applyBorder="1" applyAlignment="1">
      <alignment horizontal="center"/>
    </xf>
    <xf numFmtId="0" fontId="4" fillId="0" borderId="24" xfId="0" applyFont="1" applyBorder="1" applyAlignment="1">
      <alignment horizontal="center"/>
    </xf>
    <xf numFmtId="0" fontId="4" fillId="0" borderId="11" xfId="0" applyFont="1" applyFill="1" applyBorder="1" applyAlignment="1">
      <alignment horizontal="center"/>
    </xf>
    <xf numFmtId="0" fontId="5" fillId="2" borderId="7" xfId="0" applyFont="1" applyFill="1" applyBorder="1"/>
    <xf numFmtId="0" fontId="5" fillId="2" borderId="22" xfId="0" applyFont="1" applyFill="1" applyBorder="1"/>
    <xf numFmtId="0" fontId="5" fillId="3" borderId="37" xfId="0" applyFont="1" applyFill="1" applyBorder="1"/>
    <xf numFmtId="0" fontId="5" fillId="3" borderId="38" xfId="0" applyFont="1" applyFill="1" applyBorder="1"/>
    <xf numFmtId="0" fontId="12" fillId="0" borderId="0" xfId="0" applyFont="1" applyFill="1" applyBorder="1"/>
    <xf numFmtId="0" fontId="5" fillId="4" borderId="0" xfId="0" applyFont="1" applyFill="1" applyBorder="1"/>
    <xf numFmtId="0" fontId="5" fillId="4" borderId="0" xfId="0" applyFont="1" applyFill="1" applyBorder="1" applyAlignment="1">
      <alignment horizontal="right"/>
    </xf>
    <xf numFmtId="0" fontId="5" fillId="0" borderId="46" xfId="0" applyFont="1" applyFill="1" applyBorder="1" applyAlignment="1"/>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23" xfId="0" applyNumberFormat="1" applyFill="1" applyBorder="1" applyAlignment="1">
      <alignment horizontal="center"/>
    </xf>
    <xf numFmtId="164" fontId="0" fillId="0" borderId="0" xfId="0" applyNumberFormat="1" applyFill="1"/>
    <xf numFmtId="0" fontId="2" fillId="0" borderId="0" xfId="0" applyFont="1"/>
    <xf numFmtId="0" fontId="3" fillId="0" borderId="0" xfId="0" applyFont="1"/>
    <xf numFmtId="0" fontId="1" fillId="0" borderId="0" xfId="0" applyFont="1"/>
    <xf numFmtId="0" fontId="9" fillId="0" borderId="0" xfId="0" applyFont="1" applyFill="1"/>
    <xf numFmtId="0" fontId="0" fillId="0" borderId="6" xfId="0" applyFill="1" applyBorder="1"/>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quotePrefix="1" applyNumberFormat="1" applyFont="1" applyAlignment="1">
      <alignment horizontal="center" vertical="top" wrapText="1"/>
    </xf>
    <xf numFmtId="0" fontId="16" fillId="0" borderId="0" xfId="0" applyFont="1" applyAlignment="1">
      <alignment vertical="top" wrapText="1"/>
    </xf>
    <xf numFmtId="0" fontId="16" fillId="0" borderId="0" xfId="0" applyNumberFormat="1" applyFont="1" applyAlignment="1">
      <alignment horizontal="center" vertical="top" wrapText="1"/>
    </xf>
    <xf numFmtId="0" fontId="0" fillId="0" borderId="0" xfId="0" applyAlignment="1">
      <alignment wrapText="1"/>
    </xf>
    <xf numFmtId="0" fontId="15" fillId="0" borderId="0" xfId="0" applyFont="1" applyAlignment="1">
      <alignment vertical="top" wrapText="1"/>
    </xf>
    <xf numFmtId="0" fontId="15" fillId="0" borderId="0" xfId="0" applyNumberFormat="1" applyFont="1" applyAlignment="1">
      <alignment horizontal="center" vertical="top" wrapText="1"/>
    </xf>
    <xf numFmtId="0" fontId="15" fillId="0" borderId="0" xfId="0" applyFont="1" applyAlignment="1">
      <alignment horizontal="justify" vertical="top" wrapText="1"/>
    </xf>
    <xf numFmtId="0" fontId="0" fillId="0" borderId="0" xfId="0" applyAlignment="1">
      <alignment horizontal="center" wrapText="1"/>
    </xf>
    <xf numFmtId="0" fontId="0" fillId="0" borderId="0" xfId="0" applyNumberFormat="1" applyAlignment="1">
      <alignment wrapText="1"/>
    </xf>
    <xf numFmtId="0" fontId="15" fillId="0" borderId="0" xfId="0" applyFont="1" applyAlignment="1">
      <alignment wrapText="1"/>
    </xf>
    <xf numFmtId="0" fontId="19" fillId="0" borderId="26" xfId="0" applyFont="1" applyFill="1" applyBorder="1"/>
    <xf numFmtId="0" fontId="20" fillId="0" borderId="26" xfId="0" applyFont="1" applyFill="1" applyBorder="1"/>
    <xf numFmtId="1" fontId="21" fillId="0" borderId="26" xfId="0" applyNumberFormat="1" applyFont="1" applyFill="1" applyBorder="1" applyAlignment="1">
      <alignment horizontal="center" vertical="center"/>
    </xf>
    <xf numFmtId="0" fontId="0" fillId="0" borderId="12"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6" xfId="0" applyNumberFormat="1" applyFill="1" applyBorder="1"/>
    <xf numFmtId="1" fontId="0" fillId="0" borderId="31" xfId="0" applyNumberFormat="1" applyFill="1" applyBorder="1"/>
    <xf numFmtId="1" fontId="0" fillId="0" borderId="34" xfId="0" applyNumberFormat="1" applyFill="1" applyBorder="1"/>
    <xf numFmtId="0" fontId="7" fillId="0" borderId="1" xfId="0" applyFont="1" applyFill="1" applyBorder="1"/>
    <xf numFmtId="0" fontId="8" fillId="0" borderId="2" xfId="0" applyFont="1" applyFill="1" applyBorder="1"/>
    <xf numFmtId="0" fontId="7" fillId="0" borderId="2" xfId="0" applyFont="1" applyFill="1" applyBorder="1"/>
    <xf numFmtId="0" fontId="7" fillId="0" borderId="2" xfId="0" applyFont="1" applyFill="1" applyBorder="1" applyAlignment="1">
      <alignment horizontal="right"/>
    </xf>
    <xf numFmtId="0" fontId="8" fillId="0" borderId="3" xfId="0" applyFont="1" applyFill="1" applyBorder="1" applyAlignment="1">
      <alignment horizontal="center"/>
    </xf>
    <xf numFmtId="0" fontId="7" fillId="0" borderId="7" xfId="0" applyFont="1" applyFill="1" applyBorder="1"/>
    <xf numFmtId="0" fontId="8" fillId="0" borderId="0" xfId="0" applyFont="1" applyFill="1" applyBorder="1"/>
    <xf numFmtId="0" fontId="7" fillId="0" borderId="0" xfId="0" applyFont="1" applyFill="1" applyBorder="1"/>
    <xf numFmtId="0" fontId="8" fillId="0" borderId="0" xfId="0" applyFont="1" applyFill="1" applyBorder="1" applyAlignment="1">
      <alignment horizontal="center"/>
    </xf>
    <xf numFmtId="0" fontId="7" fillId="0" borderId="0" xfId="0" applyFont="1" applyFill="1" applyBorder="1" applyAlignment="1">
      <alignment horizontal="right"/>
    </xf>
    <xf numFmtId="0" fontId="8" fillId="0" borderId="8" xfId="0" applyFont="1" applyFill="1" applyBorder="1" applyAlignment="1">
      <alignment horizontal="center"/>
    </xf>
    <xf numFmtId="1" fontId="8" fillId="0" borderId="11" xfId="0" applyNumberFormat="1" applyFont="1" applyFill="1" applyBorder="1" applyAlignment="1">
      <alignment horizontal="center"/>
    </xf>
    <xf numFmtId="0" fontId="8" fillId="0" borderId="11" xfId="0" applyFont="1" applyFill="1" applyBorder="1" applyAlignment="1">
      <alignment horizontal="center"/>
    </xf>
    <xf numFmtId="0" fontId="7" fillId="0" borderId="11" xfId="0" applyFont="1" applyFill="1" applyBorder="1" applyAlignment="1">
      <alignment horizontal="center"/>
    </xf>
    <xf numFmtId="0" fontId="22" fillId="0" borderId="7" xfId="0" applyFont="1" applyFill="1" applyBorder="1"/>
    <xf numFmtId="1" fontId="8" fillId="0" borderId="0" xfId="0" applyNumberFormat="1" applyFont="1" applyFill="1" applyBorder="1" applyAlignment="1">
      <alignment horizontal="center"/>
    </xf>
    <xf numFmtId="0" fontId="8" fillId="0" borderId="12" xfId="0" applyFont="1" applyFill="1" applyBorder="1"/>
    <xf numFmtId="0" fontId="7" fillId="0" borderId="2" xfId="0" applyFont="1" applyFill="1" applyBorder="1" applyAlignment="1">
      <alignment horizontal="center"/>
    </xf>
    <xf numFmtId="0" fontId="7" fillId="0" borderId="13" xfId="0" applyFont="1" applyFill="1" applyBorder="1"/>
    <xf numFmtId="0" fontId="7" fillId="0" borderId="13" xfId="0" applyFont="1" applyFill="1" applyBorder="1" applyAlignment="1">
      <alignment horizontal="center"/>
    </xf>
    <xf numFmtId="0" fontId="8" fillId="0" borderId="7" xfId="0" applyFont="1" applyFill="1" applyBorder="1" applyAlignment="1">
      <alignment horizontal="right"/>
    </xf>
    <xf numFmtId="1" fontId="8" fillId="0" borderId="15" xfId="0" applyNumberFormat="1" applyFont="1" applyFill="1" applyBorder="1" applyAlignment="1">
      <alignment horizontal="center"/>
    </xf>
    <xf numFmtId="1" fontId="8" fillId="0" borderId="16" xfId="0" applyNumberFormat="1" applyFont="1" applyFill="1" applyBorder="1" applyAlignment="1">
      <alignment horizontal="center"/>
    </xf>
    <xf numFmtId="0" fontId="8" fillId="0" borderId="7" xfId="0" applyFont="1" applyFill="1" applyBorder="1"/>
    <xf numFmtId="164" fontId="8" fillId="0" borderId="0" xfId="0" applyNumberFormat="1" applyFont="1" applyFill="1" applyBorder="1" applyAlignment="1">
      <alignment horizontal="center"/>
    </xf>
    <xf numFmtId="0" fontId="8" fillId="0" borderId="12" xfId="0" applyFont="1" applyFill="1" applyBorder="1" applyAlignment="1">
      <alignment horizontal="center"/>
    </xf>
    <xf numFmtId="1" fontId="8" fillId="0" borderId="6" xfId="0" applyNumberFormat="1" applyFont="1" applyFill="1" applyBorder="1" applyAlignment="1">
      <alignment horizontal="center"/>
    </xf>
    <xf numFmtId="1" fontId="8" fillId="0" borderId="18" xfId="0" applyNumberFormat="1" applyFont="1" applyFill="1" applyBorder="1" applyAlignment="1">
      <alignment horizontal="center"/>
    </xf>
    <xf numFmtId="2" fontId="8" fillId="0" borderId="12" xfId="0" applyNumberFormat="1" applyFont="1" applyFill="1" applyBorder="1" applyAlignment="1">
      <alignment horizontal="center"/>
    </xf>
    <xf numFmtId="0" fontId="8" fillId="0" borderId="7" xfId="0" applyFont="1" applyFill="1" applyBorder="1" applyAlignment="1"/>
    <xf numFmtId="0" fontId="8" fillId="0" borderId="12" xfId="0" applyNumberFormat="1" applyFont="1" applyFill="1" applyBorder="1" applyAlignment="1">
      <alignment horizontal="center"/>
    </xf>
    <xf numFmtId="1" fontId="8" fillId="0" borderId="20" xfId="0" applyNumberFormat="1" applyFont="1" applyFill="1" applyBorder="1" applyAlignment="1">
      <alignment horizontal="center"/>
    </xf>
    <xf numFmtId="1" fontId="8" fillId="0" borderId="21" xfId="0" applyNumberFormat="1" applyFont="1" applyFill="1" applyBorder="1" applyAlignment="1">
      <alignment horizontal="center"/>
    </xf>
    <xf numFmtId="0" fontId="8" fillId="0" borderId="22" xfId="0" applyFont="1" applyFill="1" applyBorder="1"/>
    <xf numFmtId="164" fontId="8" fillId="0" borderId="23" xfId="0" applyNumberFormat="1" applyFont="1" applyFill="1" applyBorder="1" applyAlignment="1">
      <alignment horizontal="center"/>
    </xf>
    <xf numFmtId="0" fontId="8" fillId="0" borderId="24" xfId="0" applyFont="1" applyFill="1" applyBorder="1" applyAlignment="1">
      <alignment horizontal="center"/>
    </xf>
    <xf numFmtId="0" fontId="8" fillId="0" borderId="23" xfId="0" applyFont="1" applyFill="1" applyBorder="1"/>
    <xf numFmtId="1" fontId="8" fillId="0" borderId="23" xfId="0" applyNumberFormat="1" applyFont="1" applyFill="1" applyBorder="1" applyAlignment="1">
      <alignment horizontal="center"/>
    </xf>
    <xf numFmtId="0" fontId="7" fillId="0" borderId="25" xfId="0" applyFont="1" applyFill="1" applyBorder="1"/>
    <xf numFmtId="0" fontId="8" fillId="0" borderId="26" xfId="0" applyFont="1" applyFill="1" applyBorder="1"/>
    <xf numFmtId="1" fontId="7" fillId="0" borderId="27" xfId="0" applyNumberFormat="1" applyFont="1" applyFill="1" applyBorder="1" applyAlignment="1">
      <alignment horizontal="center"/>
    </xf>
    <xf numFmtId="0" fontId="23" fillId="0" borderId="26" xfId="0" applyFont="1" applyFill="1" applyBorder="1"/>
    <xf numFmtId="0" fontId="24" fillId="0" borderId="26" xfId="0" applyFont="1" applyFill="1" applyBorder="1"/>
    <xf numFmtId="1" fontId="23" fillId="0" borderId="26" xfId="0" applyNumberFormat="1" applyFont="1" applyFill="1" applyBorder="1" applyAlignment="1">
      <alignment horizontal="center" vertical="center"/>
    </xf>
    <xf numFmtId="0" fontId="8" fillId="0" borderId="28" xfId="0" applyFont="1" applyFill="1" applyBorder="1"/>
    <xf numFmtId="0" fontId="7" fillId="0" borderId="7" xfId="0" applyFont="1" applyFill="1" applyBorder="1" applyAlignment="1"/>
    <xf numFmtId="0" fontId="7" fillId="0" borderId="29" xfId="0" applyFont="1" applyFill="1" applyBorder="1" applyAlignment="1">
      <alignment horizontal="center"/>
    </xf>
    <xf numFmtId="0" fontId="7" fillId="0" borderId="0" xfId="0" applyFont="1" applyFill="1" applyBorder="1" applyAlignment="1">
      <alignment horizontal="center"/>
    </xf>
    <xf numFmtId="0" fontId="8" fillId="0" borderId="30" xfId="0" applyFont="1" applyFill="1" applyBorder="1" applyAlignment="1">
      <alignment horizontal="center"/>
    </xf>
    <xf numFmtId="0" fontId="7" fillId="0" borderId="12" xfId="0" applyFont="1" applyFill="1" applyBorder="1" applyAlignment="1">
      <alignment horizontal="center"/>
    </xf>
    <xf numFmtId="0" fontId="8" fillId="0" borderId="0" xfId="0" applyFont="1" applyFill="1" applyBorder="1" applyAlignment="1"/>
    <xf numFmtId="0" fontId="8" fillId="0" borderId="30" xfId="0" applyFont="1" applyFill="1" applyBorder="1" applyAlignment="1">
      <alignment horizontal="right"/>
    </xf>
    <xf numFmtId="0" fontId="8" fillId="0" borderId="7" xfId="0" applyFont="1" applyFill="1" applyBorder="1" applyAlignment="1">
      <alignment horizontal="center"/>
    </xf>
    <xf numFmtId="0" fontId="8" fillId="0" borderId="29" xfId="0" applyFont="1" applyFill="1" applyBorder="1"/>
    <xf numFmtId="0" fontId="8" fillId="0" borderId="32" xfId="0" applyFont="1" applyFill="1" applyBorder="1" applyAlignment="1"/>
    <xf numFmtId="1" fontId="8" fillId="0" borderId="32" xfId="0" applyNumberFormat="1" applyFont="1" applyFill="1" applyBorder="1" applyAlignment="1">
      <alignment horizontal="center"/>
    </xf>
    <xf numFmtId="9" fontId="8" fillId="0" borderId="10" xfId="0" applyNumberFormat="1" applyFont="1" applyFill="1" applyBorder="1"/>
    <xf numFmtId="0" fontId="8" fillId="0" borderId="33" xfId="0" applyFont="1" applyFill="1" applyBorder="1" applyAlignment="1">
      <alignment horizontal="center"/>
    </xf>
    <xf numFmtId="9" fontId="8" fillId="0" borderId="30" xfId="0" applyNumberFormat="1" applyFont="1" applyFill="1" applyBorder="1"/>
    <xf numFmtId="1" fontId="22" fillId="0" borderId="0" xfId="0" applyNumberFormat="1" applyFont="1" applyFill="1" applyBorder="1" applyAlignment="1">
      <alignment horizontal="center"/>
    </xf>
    <xf numFmtId="1" fontId="8" fillId="0" borderId="14" xfId="0" applyNumberFormat="1" applyFont="1" applyFill="1" applyBorder="1" applyAlignment="1">
      <alignment horizontal="center"/>
    </xf>
    <xf numFmtId="1" fontId="8" fillId="0" borderId="19" xfId="0" applyNumberFormat="1" applyFont="1" applyFill="1" applyBorder="1" applyAlignment="1">
      <alignment horizontal="center"/>
    </xf>
    <xf numFmtId="0" fontId="8" fillId="0" borderId="35" xfId="0" applyFont="1" applyFill="1" applyBorder="1"/>
    <xf numFmtId="9" fontId="8" fillId="0" borderId="36" xfId="0" applyNumberFormat="1" applyFont="1" applyFill="1" applyBorder="1"/>
    <xf numFmtId="0" fontId="8" fillId="0" borderId="32" xfId="0" applyFont="1" applyFill="1" applyBorder="1"/>
    <xf numFmtId="0" fontId="8" fillId="0" borderId="32" xfId="0" applyFont="1" applyFill="1" applyBorder="1" applyAlignment="1">
      <alignment horizontal="center"/>
    </xf>
    <xf numFmtId="0" fontId="7" fillId="0" borderId="33" xfId="0" applyFont="1" applyFill="1" applyBorder="1" applyAlignment="1">
      <alignment horizontal="center"/>
    </xf>
    <xf numFmtId="0" fontId="8" fillId="0" borderId="23" xfId="0" applyFont="1" applyFill="1" applyBorder="1" applyAlignment="1">
      <alignment horizontal="center"/>
    </xf>
    <xf numFmtId="1" fontId="8" fillId="0" borderId="0" xfId="0" applyNumberFormat="1" applyFont="1" applyFill="1" applyBorder="1"/>
    <xf numFmtId="1" fontId="7" fillId="0" borderId="2" xfId="0" applyNumberFormat="1" applyFont="1" applyFill="1" applyBorder="1" applyAlignment="1">
      <alignment horizontal="center"/>
    </xf>
    <xf numFmtId="0" fontId="8" fillId="0" borderId="39" xfId="0" applyFont="1" applyFill="1" applyBorder="1"/>
    <xf numFmtId="0" fontId="8" fillId="0" borderId="23" xfId="0" applyFont="1" applyFill="1" applyBorder="1" applyAlignment="1"/>
    <xf numFmtId="0" fontId="7" fillId="0" borderId="24" xfId="0" applyFont="1" applyFill="1" applyBorder="1" applyAlignment="1">
      <alignment horizontal="center"/>
    </xf>
    <xf numFmtId="0" fontId="7" fillId="0" borderId="40" xfId="0" applyFont="1" applyFill="1" applyBorder="1" applyAlignment="1">
      <alignment horizontal="center"/>
    </xf>
    <xf numFmtId="0" fontId="7" fillId="0" borderId="41" xfId="0" applyFont="1" applyFill="1" applyBorder="1" applyAlignment="1">
      <alignment horizontal="center"/>
    </xf>
    <xf numFmtId="1" fontId="8" fillId="0" borderId="42" xfId="0" quotePrefix="1" applyNumberFormat="1" applyFont="1" applyFill="1" applyBorder="1" applyAlignment="1">
      <alignment horizontal="center"/>
    </xf>
    <xf numFmtId="1" fontId="8" fillId="0" borderId="30" xfId="0" applyNumberFormat="1" applyFont="1" applyFill="1" applyBorder="1" applyAlignment="1">
      <alignment horizontal="center"/>
    </xf>
    <xf numFmtId="1" fontId="8" fillId="0" borderId="0" xfId="0" quotePrefix="1" applyNumberFormat="1" applyFont="1" applyFill="1" applyBorder="1" applyAlignment="1">
      <alignment horizontal="center"/>
    </xf>
    <xf numFmtId="1" fontId="8" fillId="0" borderId="12" xfId="0" applyNumberFormat="1" applyFont="1" applyFill="1" applyBorder="1" applyAlignment="1">
      <alignment horizontal="center"/>
    </xf>
    <xf numFmtId="1" fontId="8" fillId="0" borderId="9" xfId="0" applyNumberFormat="1" applyFont="1" applyFill="1" applyBorder="1" applyAlignment="1">
      <alignment horizontal="center"/>
    </xf>
    <xf numFmtId="1" fontId="8" fillId="0" borderId="10" xfId="0" applyNumberFormat="1" applyFont="1" applyFill="1" applyBorder="1" applyAlignment="1">
      <alignment horizontal="center"/>
    </xf>
    <xf numFmtId="1" fontId="8" fillId="0" borderId="32" xfId="0" quotePrefix="1" applyNumberFormat="1" applyFont="1" applyFill="1" applyBorder="1" applyAlignment="1">
      <alignment horizontal="center"/>
    </xf>
    <xf numFmtId="1" fontId="8" fillId="0" borderId="9" xfId="0" quotePrefix="1" applyNumberFormat="1" applyFont="1" applyFill="1" applyBorder="1" applyAlignment="1">
      <alignment horizontal="center"/>
    </xf>
    <xf numFmtId="1" fontId="8" fillId="0" borderId="33" xfId="0" applyNumberFormat="1" applyFont="1" applyFill="1" applyBorder="1" applyAlignment="1">
      <alignment horizontal="center"/>
    </xf>
    <xf numFmtId="1" fontId="8" fillId="0" borderId="42" xfId="0" applyNumberFormat="1" applyFont="1" applyFill="1" applyBorder="1" applyAlignment="1">
      <alignment horizontal="center"/>
    </xf>
    <xf numFmtId="1" fontId="8" fillId="0" borderId="43" xfId="0" applyNumberFormat="1" applyFont="1" applyFill="1" applyBorder="1" applyAlignment="1">
      <alignment horizontal="center"/>
    </xf>
    <xf numFmtId="1" fontId="8" fillId="0" borderId="36" xfId="0" applyNumberFormat="1" applyFont="1" applyFill="1" applyBorder="1" applyAlignment="1">
      <alignment horizontal="center"/>
    </xf>
    <xf numFmtId="1" fontId="8" fillId="0" borderId="24" xfId="0" applyNumberFormat="1" applyFont="1" applyFill="1" applyBorder="1" applyAlignment="1">
      <alignment horizontal="center"/>
    </xf>
    <xf numFmtId="1" fontId="8" fillId="0" borderId="12" xfId="0" applyNumberFormat="1" applyFont="1" applyFill="1" applyBorder="1"/>
    <xf numFmtId="1" fontId="7" fillId="0" borderId="40" xfId="0" applyNumberFormat="1" applyFont="1" applyFill="1" applyBorder="1" applyAlignment="1">
      <alignment horizontal="center"/>
    </xf>
    <xf numFmtId="1" fontId="7" fillId="0" borderId="41" xfId="0" applyNumberFormat="1" applyFont="1" applyFill="1" applyBorder="1" applyAlignment="1">
      <alignment horizontal="center"/>
    </xf>
    <xf numFmtId="1" fontId="7" fillId="0" borderId="13" xfId="0" applyNumberFormat="1" applyFont="1" applyFill="1" applyBorder="1" applyAlignment="1">
      <alignment horizontal="center"/>
    </xf>
    <xf numFmtId="0" fontId="7" fillId="0" borderId="45" xfId="0" applyFont="1" applyBorder="1"/>
    <xf numFmtId="0" fontId="7" fillId="0" borderId="2" xfId="0" applyFont="1" applyBorder="1"/>
    <xf numFmtId="0" fontId="7" fillId="0" borderId="1" xfId="0" applyFont="1" applyBorder="1"/>
    <xf numFmtId="1" fontId="8" fillId="0" borderId="41" xfId="0" applyNumberFormat="1" applyFont="1" applyBorder="1" applyAlignment="1">
      <alignment horizontal="center"/>
    </xf>
    <xf numFmtId="0" fontId="8" fillId="0" borderId="2" xfId="0" applyFont="1" applyBorder="1" applyAlignment="1">
      <alignment horizontal="center"/>
    </xf>
    <xf numFmtId="1" fontId="8" fillId="0" borderId="13" xfId="0" applyNumberFormat="1" applyFont="1" applyBorder="1" applyAlignment="1">
      <alignment horizontal="center"/>
    </xf>
    <xf numFmtId="0" fontId="7" fillId="0" borderId="2" xfId="0" applyFont="1" applyBorder="1" applyAlignment="1">
      <alignment horizontal="right"/>
    </xf>
    <xf numFmtId="0" fontId="7" fillId="0" borderId="2" xfId="0" applyFont="1" applyBorder="1" applyAlignment="1">
      <alignment horizontal="center"/>
    </xf>
    <xf numFmtId="0" fontId="7" fillId="0" borderId="13" xfId="0" applyFont="1" applyBorder="1" applyAlignment="1">
      <alignment horizontal="center"/>
    </xf>
    <xf numFmtId="0" fontId="8" fillId="0" borderId="46" xfId="0" applyFont="1" applyBorder="1"/>
    <xf numFmtId="0" fontId="7" fillId="0" borderId="0" xfId="0" applyFont="1" applyBorder="1"/>
    <xf numFmtId="0" fontId="7" fillId="0" borderId="7" xfId="0" applyFont="1" applyBorder="1"/>
    <xf numFmtId="1" fontId="8" fillId="0" borderId="30" xfId="0" applyNumberFormat="1" applyFont="1" applyBorder="1" applyAlignment="1">
      <alignment horizontal="center"/>
    </xf>
    <xf numFmtId="0" fontId="8" fillId="0" borderId="12" xfId="0" applyFont="1" applyBorder="1" applyAlignment="1">
      <alignment horizontal="center"/>
    </xf>
    <xf numFmtId="0" fontId="7" fillId="0" borderId="0" xfId="0" applyFont="1" applyBorder="1" applyAlignment="1">
      <alignment horizontal="right"/>
    </xf>
    <xf numFmtId="0" fontId="8" fillId="0" borderId="37" xfId="0" applyFont="1" applyFill="1" applyBorder="1"/>
    <xf numFmtId="0" fontId="8" fillId="0" borderId="32" xfId="0" applyFont="1" applyBorder="1" applyAlignment="1">
      <alignment horizontal="center"/>
    </xf>
    <xf numFmtId="0" fontId="7" fillId="0" borderId="33" xfId="0" applyFont="1" applyBorder="1" applyAlignment="1">
      <alignment horizontal="center"/>
    </xf>
    <xf numFmtId="0" fontId="8" fillId="0" borderId="47" xfId="0" applyFont="1" applyFill="1" applyBorder="1"/>
    <xf numFmtId="0" fontId="7" fillId="0" borderId="37" xfId="0" applyFont="1" applyBorder="1"/>
    <xf numFmtId="0" fontId="8" fillId="0" borderId="32" xfId="0" applyFont="1" applyBorder="1"/>
    <xf numFmtId="1" fontId="8" fillId="0" borderId="10" xfId="0" applyNumberFormat="1" applyFont="1" applyBorder="1" applyAlignment="1">
      <alignment horizontal="center"/>
    </xf>
    <xf numFmtId="0" fontId="7" fillId="0" borderId="48" xfId="0" applyFont="1" applyBorder="1"/>
    <xf numFmtId="0" fontId="8" fillId="0" borderId="49" xfId="0" applyFont="1" applyBorder="1" applyAlignment="1">
      <alignment horizontal="center"/>
    </xf>
    <xf numFmtId="1" fontId="8" fillId="0" borderId="6" xfId="0" applyNumberFormat="1" applyFont="1" applyBorder="1"/>
    <xf numFmtId="0" fontId="7" fillId="0" borderId="4" xfId="0" applyFont="1" applyBorder="1"/>
    <xf numFmtId="0" fontId="8" fillId="0" borderId="49" xfId="0" applyFont="1" applyBorder="1"/>
    <xf numFmtId="1" fontId="8" fillId="0" borderId="18" xfId="0" applyNumberFormat="1" applyFont="1" applyBorder="1"/>
    <xf numFmtId="0" fontId="8" fillId="0" borderId="0" xfId="0" applyFont="1" applyBorder="1" applyAlignment="1">
      <alignment horizontal="center"/>
    </xf>
    <xf numFmtId="0" fontId="8" fillId="0" borderId="42" xfId="0" applyFont="1" applyBorder="1"/>
    <xf numFmtId="0" fontId="8" fillId="0" borderId="50" xfId="0" applyFont="1" applyBorder="1" applyAlignment="1">
      <alignment horizontal="center"/>
    </xf>
    <xf numFmtId="0" fontId="8" fillId="0" borderId="46" xfId="0" applyFont="1" applyFill="1" applyBorder="1" applyAlignment="1"/>
    <xf numFmtId="0" fontId="8" fillId="0" borderId="0" xfId="0" applyFont="1" applyFill="1" applyBorder="1" applyAlignment="1">
      <alignment horizontal="right"/>
    </xf>
    <xf numFmtId="0" fontId="8" fillId="0" borderId="7" xfId="0" applyFont="1" applyBorder="1"/>
    <xf numFmtId="0" fontId="8" fillId="0" borderId="51" xfId="0" applyFont="1" applyBorder="1" applyAlignment="1">
      <alignment horizontal="center"/>
    </xf>
    <xf numFmtId="0" fontId="8" fillId="0" borderId="39" xfId="0" applyFont="1" applyFill="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1" fontId="8" fillId="0" borderId="52" xfId="0" applyNumberFormat="1" applyFont="1" applyFill="1" applyBorder="1" applyAlignment="1">
      <alignment horizontal="center"/>
    </xf>
    <xf numFmtId="1" fontId="8" fillId="0" borderId="0" xfId="0" applyNumberFormat="1" applyFont="1" applyFill="1" applyBorder="1" applyAlignment="1"/>
    <xf numFmtId="1" fontId="7" fillId="0" borderId="1" xfId="0" applyNumberFormat="1" applyFont="1" applyFill="1" applyBorder="1" applyAlignment="1">
      <alignment horizontal="center"/>
    </xf>
    <xf numFmtId="1" fontId="8" fillId="0" borderId="2" xfId="0" applyNumberFormat="1" applyFont="1" applyFill="1" applyBorder="1" applyAlignment="1">
      <alignment horizontal="center"/>
    </xf>
    <xf numFmtId="0" fontId="8" fillId="0" borderId="2" xfId="0" applyFont="1" applyBorder="1"/>
    <xf numFmtId="0" fontId="8" fillId="0" borderId="13" xfId="0" applyFont="1" applyBorder="1"/>
    <xf numFmtId="1" fontId="8" fillId="0" borderId="7" xfId="0" applyNumberFormat="1" applyFont="1" applyFill="1" applyBorder="1" applyAlignment="1"/>
    <xf numFmtId="0" fontId="8" fillId="0" borderId="46" xfId="0" applyFont="1" applyFill="1" applyBorder="1"/>
    <xf numFmtId="1" fontId="8" fillId="0" borderId="12" xfId="0" applyNumberFormat="1" applyFont="1" applyFill="1" applyBorder="1" applyAlignment="1"/>
    <xf numFmtId="0" fontId="8" fillId="0" borderId="54" xfId="0" applyFont="1" applyFill="1" applyBorder="1"/>
    <xf numFmtId="1" fontId="7" fillId="0" borderId="1" xfId="0" applyNumberFormat="1" applyFont="1" applyFill="1" applyBorder="1" applyAlignment="1"/>
    <xf numFmtId="1" fontId="8" fillId="0" borderId="2" xfId="0" applyNumberFormat="1" applyFont="1" applyFill="1" applyBorder="1" applyAlignment="1"/>
    <xf numFmtId="1" fontId="8" fillId="0" borderId="13" xfId="0" applyNumberFormat="1" applyFont="1" applyFill="1" applyBorder="1" applyAlignment="1"/>
    <xf numFmtId="0" fontId="7" fillId="0" borderId="0" xfId="0" applyFont="1" applyBorder="1" applyAlignment="1">
      <alignment horizontal="center"/>
    </xf>
    <xf numFmtId="0" fontId="7" fillId="0" borderId="24" xfId="0" applyFont="1" applyBorder="1" applyAlignment="1">
      <alignment horizontal="center"/>
    </xf>
    <xf numFmtId="0" fontId="8" fillId="0" borderId="0" xfId="0" applyFont="1" applyBorder="1" applyAlignment="1">
      <alignment horizontal="right"/>
    </xf>
    <xf numFmtId="0" fontId="7" fillId="0" borderId="1" xfId="0" applyFont="1" applyFill="1" applyBorder="1" applyAlignment="1"/>
    <xf numFmtId="0" fontId="8" fillId="0" borderId="37" xfId="0" applyFont="1" applyBorder="1"/>
    <xf numFmtId="0" fontId="7" fillId="0" borderId="32" xfId="0" applyFont="1" applyBorder="1" applyAlignment="1">
      <alignment horizontal="right"/>
    </xf>
    <xf numFmtId="0" fontId="8" fillId="0" borderId="33" xfId="0" applyFont="1" applyBorder="1"/>
    <xf numFmtId="0" fontId="8" fillId="0" borderId="0" xfId="0" applyFont="1" applyBorder="1" applyAlignment="1"/>
    <xf numFmtId="1" fontId="8" fillId="0" borderId="0" xfId="0" applyNumberFormat="1" applyFont="1" applyBorder="1" applyAlignment="1">
      <alignment horizontal="center"/>
    </xf>
    <xf numFmtId="9" fontId="8" fillId="0" borderId="0" xfId="0" applyNumberFormat="1" applyFont="1" applyBorder="1"/>
    <xf numFmtId="0" fontId="7" fillId="0" borderId="45" xfId="0" applyFont="1" applyFill="1" applyBorder="1"/>
    <xf numFmtId="0" fontId="7" fillId="0" borderId="46" xfId="0" applyFont="1" applyFill="1" applyBorder="1"/>
    <xf numFmtId="0" fontId="8" fillId="0" borderId="54" xfId="0" applyFont="1" applyBorder="1"/>
    <xf numFmtId="0" fontId="8" fillId="0" borderId="12" xfId="0" applyFont="1" applyBorder="1"/>
    <xf numFmtId="0" fontId="8" fillId="0" borderId="23" xfId="0" applyFont="1" applyBorder="1"/>
    <xf numFmtId="0" fontId="8" fillId="0" borderId="22" xfId="0" applyFont="1" applyBorder="1"/>
    <xf numFmtId="0" fontId="7" fillId="0" borderId="23" xfId="0" applyFont="1" applyBorder="1" applyAlignment="1">
      <alignment horizontal="right"/>
    </xf>
    <xf numFmtId="0" fontId="8" fillId="0" borderId="24" xfId="0" applyFont="1" applyBorder="1"/>
    <xf numFmtId="0" fontId="8" fillId="0" borderId="2" xfId="0" applyFont="1" applyFill="1" applyBorder="1" applyAlignment="1">
      <alignment horizontal="center"/>
    </xf>
    <xf numFmtId="0" fontId="22" fillId="0" borderId="0" xfId="0" applyFont="1" applyFill="1" applyBorder="1"/>
    <xf numFmtId="1" fontId="8" fillId="0" borderId="17" xfId="0" applyNumberFormat="1" applyFont="1" applyFill="1" applyBorder="1" applyAlignment="1">
      <alignment horizontal="center"/>
    </xf>
    <xf numFmtId="0" fontId="7" fillId="0" borderId="37" xfId="0" applyFont="1" applyFill="1" applyBorder="1"/>
    <xf numFmtId="0" fontId="8" fillId="0" borderId="38" xfId="0" applyFont="1" applyFill="1" applyBorder="1"/>
    <xf numFmtId="0" fontId="7" fillId="0" borderId="45" xfId="0" applyFont="1" applyFill="1" applyBorder="1" applyAlignment="1">
      <alignment horizontal="left"/>
    </xf>
    <xf numFmtId="164" fontId="8" fillId="0" borderId="0" xfId="0" applyNumberFormat="1" applyFont="1" applyFill="1" applyBorder="1" applyAlignment="1">
      <alignment horizontal="center"/>
    </xf>
    <xf numFmtId="0" fontId="8" fillId="0" borderId="7" xfId="0" applyFont="1" applyFill="1" applyBorder="1" applyAlignment="1">
      <alignment vertical="center"/>
    </xf>
    <xf numFmtId="0" fontId="8" fillId="0" borderId="0" xfId="0" applyFont="1" applyFill="1" applyBorder="1" applyAlignment="1">
      <alignment vertical="center"/>
    </xf>
    <xf numFmtId="1" fontId="8" fillId="0" borderId="31" xfId="0" applyNumberFormat="1" applyFont="1" applyFill="1" applyBorder="1" applyAlignment="1">
      <alignment horizontal="center" vertical="center"/>
    </xf>
    <xf numFmtId="1" fontId="8" fillId="0" borderId="44"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1" fontId="8" fillId="0" borderId="7" xfId="0" applyNumberFormat="1" applyFont="1" applyFill="1" applyBorder="1" applyAlignment="1">
      <alignment vertical="top" wrapText="1"/>
    </xf>
    <xf numFmtId="0" fontId="8" fillId="0" borderId="0" xfId="0" applyFont="1" applyFill="1" applyAlignment="1">
      <alignment vertical="top" wrapText="1"/>
    </xf>
    <xf numFmtId="0" fontId="8" fillId="0" borderId="12" xfId="0" applyFont="1" applyFill="1" applyBorder="1" applyAlignment="1">
      <alignment vertical="top" wrapText="1"/>
    </xf>
    <xf numFmtId="0" fontId="8" fillId="0" borderId="7" xfId="0" applyFont="1" applyFill="1" applyBorder="1" applyAlignment="1">
      <alignment vertical="top" wrapText="1"/>
    </xf>
    <xf numFmtId="0" fontId="8" fillId="0" borderId="22" xfId="0" applyFont="1" applyFill="1" applyBorder="1" applyAlignment="1">
      <alignment vertical="top" wrapText="1"/>
    </xf>
    <xf numFmtId="0" fontId="8" fillId="0" borderId="23" xfId="0" applyFont="1" applyFill="1" applyBorder="1" applyAlignment="1">
      <alignment vertical="top" wrapText="1"/>
    </xf>
    <xf numFmtId="0" fontId="8" fillId="0" borderId="24" xfId="0" applyFont="1" applyFill="1" applyBorder="1" applyAlignment="1">
      <alignment vertical="top" wrapText="1"/>
    </xf>
    <xf numFmtId="1" fontId="8" fillId="0" borderId="48" xfId="0" applyNumberFormat="1" applyFont="1" applyFill="1" applyBorder="1" applyAlignment="1">
      <alignment vertical="top" wrapText="1"/>
    </xf>
    <xf numFmtId="0" fontId="8" fillId="0" borderId="49" xfId="0" applyFont="1" applyBorder="1" applyAlignment="1">
      <alignment vertical="top" wrapText="1"/>
    </xf>
    <xf numFmtId="0" fontId="8" fillId="0" borderId="53" xfId="0" applyFont="1" applyBorder="1" applyAlignment="1">
      <alignment vertical="top" wrapText="1"/>
    </xf>
    <xf numFmtId="0" fontId="8" fillId="0" borderId="7" xfId="0" applyFont="1" applyBorder="1" applyAlignment="1">
      <alignment vertical="top" wrapText="1"/>
    </xf>
    <xf numFmtId="0" fontId="8" fillId="0" borderId="0" xfId="0" applyFont="1" applyAlignment="1">
      <alignment vertical="top" wrapText="1"/>
    </xf>
    <xf numFmtId="0" fontId="8" fillId="0" borderId="12" xfId="0" applyFont="1" applyBorder="1" applyAlignment="1">
      <alignment vertical="top" wrapText="1"/>
    </xf>
    <xf numFmtId="0" fontId="8" fillId="0" borderId="37" xfId="0" applyFont="1" applyBorder="1" applyAlignment="1">
      <alignment vertical="top" wrapText="1"/>
    </xf>
    <xf numFmtId="0" fontId="8" fillId="0" borderId="32" xfId="0" applyFont="1" applyBorder="1" applyAlignment="1">
      <alignment vertical="top" wrapText="1"/>
    </xf>
    <xf numFmtId="0" fontId="8" fillId="0" borderId="33" xfId="0" applyFont="1" applyBorder="1" applyAlignment="1">
      <alignment vertical="top" wrapText="1"/>
    </xf>
    <xf numFmtId="0" fontId="8" fillId="0" borderId="22" xfId="0" applyFont="1" applyBorder="1" applyAlignment="1">
      <alignment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15" fillId="0" borderId="0" xfId="0" applyFont="1" applyAlignment="1">
      <alignment horizontal="center" vertical="top" wrapText="1"/>
    </xf>
    <xf numFmtId="0" fontId="15" fillId="0" borderId="0" xfId="0" applyNumberFormat="1" applyFont="1" applyAlignment="1">
      <alignment horizontal="center" vertical="top" wrapText="1"/>
    </xf>
    <xf numFmtId="0" fontId="15" fillId="0" borderId="0" xfId="0" applyFont="1" applyAlignment="1">
      <alignment horizontal="justify" vertical="top" wrapText="1"/>
    </xf>
    <xf numFmtId="1" fontId="18" fillId="0" borderId="0" xfId="0" applyNumberFormat="1" applyFont="1" applyFill="1" applyBorder="1" applyAlignment="1">
      <alignment horizontal="center" vertical="center"/>
    </xf>
    <xf numFmtId="1" fontId="5" fillId="0" borderId="48" xfId="0" applyNumberFormat="1" applyFont="1" applyFill="1" applyBorder="1" applyAlignment="1">
      <alignment vertical="top" wrapText="1"/>
    </xf>
    <xf numFmtId="0" fontId="0" fillId="0" borderId="49" xfId="0" applyBorder="1" applyAlignment="1">
      <alignment vertical="top" wrapText="1"/>
    </xf>
    <xf numFmtId="0" fontId="0" fillId="0" borderId="53"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1" fontId="11" fillId="0" borderId="7" xfId="0" applyNumberFormat="1" applyFont="1" applyFill="1" applyBorder="1" applyAlignment="1">
      <alignment vertical="top"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Q101"/>
  <sheetViews>
    <sheetView tabSelected="1" workbookViewId="0">
      <selection activeCell="N2" sqref="N2"/>
    </sheetView>
  </sheetViews>
  <sheetFormatPr baseColWidth="10" defaultRowHeight="13"/>
  <cols>
    <col min="1" max="1" width="19" style="173" customWidth="1"/>
    <col min="2" max="6" width="10.83203125" style="173"/>
    <col min="7" max="7" width="1.83203125" style="173" customWidth="1"/>
    <col min="8" max="14" width="10.83203125" style="173" customWidth="1"/>
    <col min="15" max="15" width="2.83203125" style="173" customWidth="1"/>
    <col min="16" max="16" width="8.83203125" style="173" customWidth="1"/>
    <col min="17" max="17" width="2.83203125" style="173" customWidth="1"/>
    <col min="18" max="16384" width="10.83203125" style="173"/>
  </cols>
  <sheetData>
    <row r="1" spans="1:41">
      <c r="A1" s="278" t="s">
        <v>1952</v>
      </c>
      <c r="B1" s="279" t="s">
        <v>2048</v>
      </c>
      <c r="C1" s="279"/>
      <c r="D1" s="280" t="s">
        <v>658</v>
      </c>
      <c r="E1" s="439" t="s">
        <v>2049</v>
      </c>
      <c r="F1" s="279"/>
      <c r="G1" s="281" t="s">
        <v>1548</v>
      </c>
      <c r="H1" s="282" t="str">
        <f>IF(F21="","",IF(W2=0,S1,IF(W2&gt;0,(S1&amp;T2),IF(W2&lt;0,(S1&amp;T2)))))</f>
        <v>D10+8</v>
      </c>
      <c r="I1" s="279"/>
      <c r="J1" s="281" t="s">
        <v>1928</v>
      </c>
      <c r="K1" s="282">
        <v>327</v>
      </c>
      <c r="L1" s="279"/>
      <c r="M1" s="281" t="s">
        <v>691</v>
      </c>
      <c r="N1" s="282">
        <v>4</v>
      </c>
      <c r="R1" s="174" t="s">
        <v>1549</v>
      </c>
      <c r="S1" s="175" t="s">
        <v>1917</v>
      </c>
      <c r="T1" s="176" t="s">
        <v>1548</v>
      </c>
      <c r="U1" s="177" t="s">
        <v>42</v>
      </c>
      <c r="V1" s="176" t="s">
        <v>43</v>
      </c>
      <c r="W1" s="178" t="s">
        <v>44</v>
      </c>
      <c r="X1" s="178"/>
      <c r="Y1" s="178"/>
      <c r="AB1" s="179" t="s">
        <v>1702</v>
      </c>
      <c r="AC1" s="275">
        <f>E2*25</f>
        <v>75</v>
      </c>
      <c r="AN1"/>
      <c r="AO1"/>
    </row>
    <row r="2" spans="1:41">
      <c r="A2" s="283" t="s">
        <v>1951</v>
      </c>
      <c r="B2" s="284" t="s">
        <v>2050</v>
      </c>
      <c r="C2" s="284"/>
      <c r="D2" s="285" t="s">
        <v>2051</v>
      </c>
      <c r="E2" s="286">
        <v>3</v>
      </c>
      <c r="F2" s="284"/>
      <c r="G2" s="287" t="s">
        <v>1826</v>
      </c>
      <c r="H2" s="288">
        <f>IF(E1&gt;0,LOOKUP(E1,Species!A2:A65,Species!N2:N65),"")</f>
        <v>0</v>
      </c>
      <c r="I2" s="284"/>
      <c r="J2" s="287" t="s">
        <v>645</v>
      </c>
      <c r="K2" s="288">
        <v>228</v>
      </c>
      <c r="L2" s="284"/>
      <c r="M2" s="287" t="s">
        <v>1326</v>
      </c>
      <c r="N2" s="288">
        <v>1</v>
      </c>
      <c r="R2" s="181"/>
      <c r="S2" s="182"/>
      <c r="T2" s="256" t="str">
        <f>IF(W2=0,0,IF(W2&gt;0,"+"&amp;W2,W2))</f>
        <v>+8</v>
      </c>
      <c r="U2" s="274">
        <f>E2+F21</f>
        <v>9</v>
      </c>
      <c r="V2" s="173">
        <f>F24+F25</f>
        <v>1</v>
      </c>
      <c r="W2" s="173">
        <f>U2-V2</f>
        <v>8</v>
      </c>
      <c r="AB2" s="179" t="s">
        <v>1918</v>
      </c>
      <c r="AC2" s="275">
        <f>W2</f>
        <v>8</v>
      </c>
      <c r="AN2"/>
      <c r="AO2"/>
    </row>
    <row r="3" spans="1:41" ht="14" thickBot="1">
      <c r="A3" s="283" t="s">
        <v>659</v>
      </c>
      <c r="B3" s="284" t="s">
        <v>2052</v>
      </c>
      <c r="C3" s="284"/>
      <c r="D3" s="285" t="s">
        <v>1150</v>
      </c>
      <c r="E3" s="286">
        <v>0</v>
      </c>
      <c r="F3" s="284"/>
      <c r="G3" s="287" t="s">
        <v>929</v>
      </c>
      <c r="H3" s="289">
        <f>IF(F21="","",11-H2)+3</f>
        <v>14</v>
      </c>
      <c r="I3" s="284"/>
      <c r="J3" s="287" t="s">
        <v>1920</v>
      </c>
      <c r="K3" s="290">
        <f>K1-K2</f>
        <v>99</v>
      </c>
      <c r="L3" s="284"/>
      <c r="M3" s="287" t="s">
        <v>1330</v>
      </c>
      <c r="N3" s="291">
        <f>N1-N2</f>
        <v>3</v>
      </c>
      <c r="R3" s="173" t="s">
        <v>1207</v>
      </c>
      <c r="T3" s="173" t="s">
        <v>18</v>
      </c>
      <c r="AB3" s="179" t="s">
        <v>1881</v>
      </c>
      <c r="AC3" s="275">
        <f>K24+M24+11</f>
        <v>24</v>
      </c>
      <c r="AN3"/>
      <c r="AO3"/>
    </row>
    <row r="4" spans="1:41" ht="14" thickBot="1">
      <c r="A4" s="292"/>
      <c r="B4" s="440"/>
      <c r="C4" s="284"/>
      <c r="D4" s="287" t="s">
        <v>990</v>
      </c>
      <c r="E4" s="293">
        <f>AC21</f>
        <v>9.2249999999999996</v>
      </c>
      <c r="F4" s="284"/>
      <c r="G4" s="284"/>
      <c r="H4" s="284"/>
      <c r="I4" s="284"/>
      <c r="J4" s="284"/>
      <c r="K4" s="285"/>
      <c r="L4" s="284"/>
      <c r="M4" s="284"/>
      <c r="N4" s="294"/>
      <c r="R4" s="173" t="s">
        <v>841</v>
      </c>
      <c r="T4" s="274">
        <f>H3</f>
        <v>14</v>
      </c>
      <c r="AB4" s="179" t="s">
        <v>1655</v>
      </c>
      <c r="AC4" s="275">
        <f>IF(A32=0,0,D32*6+F6)</f>
        <v>44</v>
      </c>
      <c r="AN4"/>
      <c r="AO4"/>
    </row>
    <row r="5" spans="1:41" ht="14" thickBot="1">
      <c r="A5" s="283" t="s">
        <v>1361</v>
      </c>
      <c r="B5" s="286" t="s">
        <v>419</v>
      </c>
      <c r="C5" s="286" t="s">
        <v>1859</v>
      </c>
      <c r="D5" s="286" t="s">
        <v>1985</v>
      </c>
      <c r="E5" s="286" t="s">
        <v>1986</v>
      </c>
      <c r="F5" s="286" t="s">
        <v>1332</v>
      </c>
      <c r="G5" s="286"/>
      <c r="H5" s="278" t="s">
        <v>624</v>
      </c>
      <c r="I5" s="295" t="s">
        <v>1487</v>
      </c>
      <c r="J5" s="296" t="s">
        <v>486</v>
      </c>
      <c r="K5" s="278" t="s">
        <v>928</v>
      </c>
      <c r="L5" s="280"/>
      <c r="M5" s="280" t="s">
        <v>2059</v>
      </c>
      <c r="N5" s="297" t="s">
        <v>2053</v>
      </c>
      <c r="R5" s="173" t="s">
        <v>731</v>
      </c>
      <c r="AB5" s="236" t="s">
        <v>1846</v>
      </c>
      <c r="AC5" s="275">
        <f>K25+M25+11</f>
        <v>21</v>
      </c>
      <c r="AN5"/>
      <c r="AO5"/>
    </row>
    <row r="6" spans="1:41" ht="13" customHeight="1">
      <c r="A6" s="298" t="s">
        <v>476</v>
      </c>
      <c r="B6" s="338">
        <v>15</v>
      </c>
      <c r="C6" s="299">
        <f>IF(E1&gt;0,LOOKUP(E1,Species!A2:A65,Species!B2:B65),"")</f>
        <v>0</v>
      </c>
      <c r="D6" s="299"/>
      <c r="E6" s="299">
        <f t="shared" ref="E6:E11" si="0">IF(B6&gt;0,SUM(B6:D6),"")</f>
        <v>15</v>
      </c>
      <c r="F6" s="300">
        <f>IF(B6&gt;0,LOOKUP(E6,'Stat Bonuses'!A2:A101,'Stat Bonuses'!B2:B101),"")</f>
        <v>2</v>
      </c>
      <c r="G6" s="286"/>
      <c r="H6" s="301" t="s">
        <v>1026</v>
      </c>
      <c r="I6" s="445" t="str">
        <f>IF($F$9="","",Y6&amp;V6&amp;W6)</f>
        <v>13  /  7.8</v>
      </c>
      <c r="J6" s="303" t="str">
        <f>IF(I6="","",S6&amp;R4)</f>
        <v>30 min</v>
      </c>
      <c r="K6" s="446" t="s">
        <v>2060</v>
      </c>
      <c r="L6" s="447"/>
      <c r="M6" s="448">
        <f>H3+F20+F9+E2</f>
        <v>27</v>
      </c>
      <c r="N6" s="450" t="str">
        <f>"Use Skill +"&amp;T4</f>
        <v>Use Skill +14</v>
      </c>
      <c r="R6" s="188">
        <f>E7*2</f>
        <v>30</v>
      </c>
      <c r="S6" s="188">
        <f t="shared" ref="S6:S11" si="1">ROUND(R6,2)</f>
        <v>30</v>
      </c>
      <c r="U6" s="251">
        <f>IF(F9="","",(10+((E9/3)-H2)/2))</f>
        <v>13</v>
      </c>
      <c r="V6" s="173" t="s">
        <v>1857</v>
      </c>
      <c r="W6" s="251">
        <f t="shared" ref="W6:W11" si="2">U6*0.6</f>
        <v>7.8</v>
      </c>
      <c r="X6" s="173" t="s">
        <v>1343</v>
      </c>
      <c r="Y6" s="251">
        <f>ROUND(U6,1)</f>
        <v>13</v>
      </c>
      <c r="AB6" s="236" t="s">
        <v>1560</v>
      </c>
      <c r="AC6" s="275">
        <f>F6+6</f>
        <v>8</v>
      </c>
      <c r="AN6"/>
      <c r="AO6"/>
    </row>
    <row r="7" spans="1:41" ht="13" customHeight="1">
      <c r="A7" s="298" t="s">
        <v>1631</v>
      </c>
      <c r="B7" s="441">
        <v>15</v>
      </c>
      <c r="C7" s="304">
        <f>IF(E1&gt;0,LOOKUP(E1,Species!A2:A65,Species!C2:C65),"")</f>
        <v>0</v>
      </c>
      <c r="D7" s="304"/>
      <c r="E7" s="304">
        <f t="shared" si="0"/>
        <v>15</v>
      </c>
      <c r="F7" s="305">
        <f>IF(B7&gt;0,LOOKUP(E7,'Stat Bonuses'!A2:A101,'Stat Bonuses'!B2:B101),"")</f>
        <v>2</v>
      </c>
      <c r="G7" s="286"/>
      <c r="H7" s="301" t="s">
        <v>625</v>
      </c>
      <c r="I7" s="445" t="str">
        <f>IF($F$9="","",Y7&amp;V7&amp;W7)</f>
        <v>16  /  9.6</v>
      </c>
      <c r="J7" s="303" t="str">
        <f>IF(F9="","",S7&amp;R5)</f>
        <v>15 hour</v>
      </c>
      <c r="K7" s="446"/>
      <c r="L7" s="447"/>
      <c r="M7" s="449"/>
      <c r="N7" s="450"/>
      <c r="R7" s="188">
        <f>E7</f>
        <v>15</v>
      </c>
      <c r="S7" s="188">
        <f t="shared" si="1"/>
        <v>15</v>
      </c>
      <c r="U7" s="251">
        <f>IF(F9="","",10+((E9/3)-H2))</f>
        <v>16</v>
      </c>
      <c r="V7" s="173" t="s">
        <v>1857</v>
      </c>
      <c r="W7" s="251">
        <f t="shared" si="2"/>
        <v>9.6</v>
      </c>
      <c r="X7" s="173" t="s">
        <v>1343</v>
      </c>
      <c r="Y7" s="251">
        <f t="shared" ref="Y7:Y11" si="3">ROUND(U7,1)</f>
        <v>16</v>
      </c>
      <c r="AB7" s="179" t="s">
        <v>653</v>
      </c>
      <c r="AC7" s="275">
        <f>K26+M26+11</f>
        <v>23</v>
      </c>
      <c r="AN7"/>
      <c r="AO7"/>
    </row>
    <row r="8" spans="1:41" ht="13" customHeight="1">
      <c r="A8" s="298" t="s">
        <v>418</v>
      </c>
      <c r="B8" s="441">
        <v>18</v>
      </c>
      <c r="C8" s="304">
        <f>IF(E1&gt;0,LOOKUP(E1,Species!A2:A65,Species!D2:D65),"")</f>
        <v>0</v>
      </c>
      <c r="D8" s="304"/>
      <c r="E8" s="304">
        <f t="shared" si="0"/>
        <v>18</v>
      </c>
      <c r="F8" s="305">
        <f>IF(B8&gt;0,LOOKUP(E8,'Stat Bonuses'!A2:A101,'Stat Bonuses'!B2:B101),"")</f>
        <v>4</v>
      </c>
      <c r="G8" s="286"/>
      <c r="H8" s="301" t="s">
        <v>1686</v>
      </c>
      <c r="I8" s="302" t="str">
        <f>IF($F$9="","",Y8&amp;V8&amp;W8)</f>
        <v>19  /  11.4</v>
      </c>
      <c r="J8" s="306" t="str">
        <f>IF(F9="","",S8&amp;R5)</f>
        <v>10 hour</v>
      </c>
      <c r="K8" s="307" t="s">
        <v>1753</v>
      </c>
      <c r="L8" s="284"/>
      <c r="M8" s="293">
        <f>11+F14+F15+K29+E2</f>
        <v>23</v>
      </c>
      <c r="N8" s="308" t="str">
        <f>$T$22&amp;M8</f>
        <v>D20+23</v>
      </c>
      <c r="R8" s="188">
        <f>E7/1.5</f>
        <v>10</v>
      </c>
      <c r="S8" s="188">
        <f t="shared" si="1"/>
        <v>10</v>
      </c>
      <c r="U8" s="251">
        <f>IF(F9="","",(10+((E9/3)-H2)*1.5))</f>
        <v>19</v>
      </c>
      <c r="V8" s="173" t="s">
        <v>1857</v>
      </c>
      <c r="W8" s="251">
        <f t="shared" si="2"/>
        <v>11.4</v>
      </c>
      <c r="X8" s="173" t="s">
        <v>1343</v>
      </c>
      <c r="Y8" s="251">
        <f t="shared" si="3"/>
        <v>19</v>
      </c>
      <c r="AB8" s="179" t="s">
        <v>1261</v>
      </c>
      <c r="AC8" s="275">
        <f>IF(A40=0,0,Y40*6+F6)</f>
        <v>20</v>
      </c>
      <c r="AN8"/>
      <c r="AO8"/>
    </row>
    <row r="9" spans="1:41">
      <c r="A9" s="298" t="s">
        <v>1922</v>
      </c>
      <c r="B9" s="441">
        <v>18</v>
      </c>
      <c r="C9" s="304">
        <f>IF(E1&gt;0,LOOKUP(E1,Species!A2:A65,Species!E2:E65),"")</f>
        <v>0</v>
      </c>
      <c r="D9" s="304"/>
      <c r="E9" s="304">
        <f t="shared" si="0"/>
        <v>18</v>
      </c>
      <c r="F9" s="305">
        <f>IF(B9&gt;0,LOOKUP(E9,'Stat Bonuses'!A2:A101,'Stat Bonuses'!B2:B101),"")</f>
        <v>4</v>
      </c>
      <c r="G9" s="286"/>
      <c r="H9" s="301" t="s">
        <v>1025</v>
      </c>
      <c r="I9" s="302" t="str">
        <f>IF($F$9="","",Y9&amp;V9&amp;W9)</f>
        <v>180  /  108</v>
      </c>
      <c r="J9" s="303" t="str">
        <f>IF(F9="","",S9&amp;R4)</f>
        <v>7.5 min</v>
      </c>
      <c r="K9" s="307" t="s">
        <v>1754</v>
      </c>
      <c r="L9" s="284"/>
      <c r="M9" s="293">
        <f>11+F14+F17+E2</f>
        <v>22</v>
      </c>
      <c r="N9" s="308" t="str">
        <f>$T$22&amp;M9</f>
        <v>D20+22</v>
      </c>
      <c r="R9" s="188">
        <f>E7/2</f>
        <v>7.5</v>
      </c>
      <c r="S9" s="188">
        <f t="shared" si="1"/>
        <v>7.5</v>
      </c>
      <c r="U9" s="251">
        <f>IF(F9="","",(10*((E9/3)-H2))*3)</f>
        <v>180</v>
      </c>
      <c r="V9" s="173" t="s">
        <v>1857</v>
      </c>
      <c r="W9" s="251">
        <f t="shared" si="2"/>
        <v>108</v>
      </c>
      <c r="X9" s="173" t="s">
        <v>1343</v>
      </c>
      <c r="Y9" s="251">
        <f t="shared" si="3"/>
        <v>180</v>
      </c>
      <c r="AB9" s="179" t="s">
        <v>1423</v>
      </c>
      <c r="AC9" s="276">
        <f>K27+M27+11</f>
        <v>24</v>
      </c>
      <c r="AN9"/>
      <c r="AO9"/>
    </row>
    <row r="10" spans="1:41">
      <c r="A10" s="298" t="s">
        <v>1987</v>
      </c>
      <c r="B10" s="441">
        <v>18</v>
      </c>
      <c r="C10" s="304">
        <f>IF(E1&gt;0,LOOKUP(E1,Species!A2:A65,Species!F2:F65),"")</f>
        <v>0</v>
      </c>
      <c r="D10" s="304"/>
      <c r="E10" s="304">
        <f t="shared" si="0"/>
        <v>18</v>
      </c>
      <c r="F10" s="305">
        <f>IF(B10&gt;0,LOOKUP(E10,'Stat Bonuses'!A2:A101,'Stat Bonuses'!B2:B101),"")</f>
        <v>4</v>
      </c>
      <c r="G10" s="286"/>
      <c r="H10" s="301" t="s">
        <v>1687</v>
      </c>
      <c r="I10" s="302" t="str">
        <f>IF($F$9="","",Y10&amp;V10&amp;W10)</f>
        <v>80  /  48</v>
      </c>
      <c r="J10" s="303" t="str">
        <f>IF(F9="","",S10&amp;R3)</f>
        <v>60 sec</v>
      </c>
      <c r="K10" s="301" t="s">
        <v>1755</v>
      </c>
      <c r="L10" s="284"/>
      <c r="M10" s="293" t="str">
        <f>T22&amp;(11+F14+F11+E2)</f>
        <v>D20+24</v>
      </c>
      <c r="N10" s="303" t="s">
        <v>1756</v>
      </c>
      <c r="R10" s="188">
        <f>E7*4</f>
        <v>60</v>
      </c>
      <c r="S10" s="188">
        <f t="shared" si="1"/>
        <v>60</v>
      </c>
      <c r="U10" s="251">
        <f>IF(F9="","",(10+((E9/3)-H2))*5)</f>
        <v>80</v>
      </c>
      <c r="V10" s="173" t="s">
        <v>1857</v>
      </c>
      <c r="W10" s="251">
        <f t="shared" si="2"/>
        <v>48</v>
      </c>
      <c r="X10" s="173" t="s">
        <v>1343</v>
      </c>
      <c r="Y10" s="251">
        <f t="shared" si="3"/>
        <v>80</v>
      </c>
      <c r="AB10" s="179" t="s">
        <v>1412</v>
      </c>
      <c r="AC10" s="276">
        <f>IF(A46=0,0,Y46*6)</f>
        <v>18</v>
      </c>
      <c r="AN10"/>
      <c r="AO10"/>
    </row>
    <row r="11" spans="1:41" ht="14" thickBot="1">
      <c r="A11" s="298" t="s">
        <v>1988</v>
      </c>
      <c r="B11" s="339">
        <v>18</v>
      </c>
      <c r="C11" s="309">
        <f>IF(E1&gt;0,LOOKUP(E1,Species!A2:A65,Species!G2:G65),"")</f>
        <v>0</v>
      </c>
      <c r="D11" s="309"/>
      <c r="E11" s="309">
        <f t="shared" si="0"/>
        <v>18</v>
      </c>
      <c r="F11" s="310">
        <f>IF(B11&gt;0,LOOKUP(E11,'Stat Bonuses'!A2:A101,'Stat Bonuses'!B2:B101),"")</f>
        <v>4</v>
      </c>
      <c r="G11" s="286"/>
      <c r="H11" s="311" t="s">
        <v>1862</v>
      </c>
      <c r="I11" s="312" t="str">
        <f>IF(T11="Yes",(Y11&amp;V11&amp;W11),"")</f>
        <v/>
      </c>
      <c r="J11" s="313" t="str">
        <f>IF(I11="","",(S11&amp;R5))</f>
        <v/>
      </c>
      <c r="K11" s="311" t="s">
        <v>1757</v>
      </c>
      <c r="L11" s="314"/>
      <c r="M11" s="315" t="str">
        <f>T22&amp;(11+F14+F17+E2)</f>
        <v>D20+22</v>
      </c>
      <c r="N11" s="313" t="s">
        <v>1758</v>
      </c>
      <c r="R11" s="188">
        <f>E7</f>
        <v>15</v>
      </c>
      <c r="S11" s="188">
        <f t="shared" si="1"/>
        <v>15</v>
      </c>
      <c r="T11" s="173">
        <f>IF(E1&gt;0,LOOKUP(E1,Species!A2:A65,Species!P2:P65),"")</f>
        <v>0</v>
      </c>
      <c r="U11" s="251" t="str">
        <f>IF(T11="Yes",(20+((E9/3)-H2)),"")</f>
        <v/>
      </c>
      <c r="V11" s="173" t="s">
        <v>1857</v>
      </c>
      <c r="W11" s="251" t="e">
        <f t="shared" si="2"/>
        <v>#VALUE!</v>
      </c>
      <c r="X11" s="173" t="s">
        <v>1343</v>
      </c>
      <c r="Y11" s="251" t="e">
        <f t="shared" si="3"/>
        <v>#VALUE!</v>
      </c>
      <c r="AB11" s="179" t="s">
        <v>1491</v>
      </c>
      <c r="AC11" s="275">
        <f>IF(H28=0,0,K28+M28+11)</f>
        <v>0</v>
      </c>
      <c r="AN11"/>
      <c r="AO11"/>
    </row>
    <row r="12" spans="1:41" ht="14" thickBot="1">
      <c r="A12" s="283" t="s">
        <v>2012</v>
      </c>
      <c r="B12" s="293"/>
      <c r="C12" s="293"/>
      <c r="D12" s="293"/>
      <c r="E12" s="293"/>
      <c r="F12" s="293"/>
      <c r="G12" s="286"/>
      <c r="H12" s="284"/>
      <c r="I12" s="284"/>
      <c r="J12" s="284"/>
      <c r="K12" s="284"/>
      <c r="L12" s="284"/>
      <c r="M12" s="284"/>
      <c r="N12" s="294"/>
      <c r="AB12" s="179" t="s">
        <v>805</v>
      </c>
      <c r="AC12" s="275">
        <f>IF(AC11&gt;0,(100),0)</f>
        <v>0</v>
      </c>
      <c r="AN12"/>
      <c r="AO12"/>
    </row>
    <row r="13" spans="1:41">
      <c r="A13" s="298" t="s">
        <v>1833</v>
      </c>
      <c r="B13" s="338">
        <v>15</v>
      </c>
      <c r="C13" s="299">
        <f>IF(E1&gt;0,LOOKUP(E1,Species!A2:A65,Species!H2:H65),"")</f>
        <v>0</v>
      </c>
      <c r="D13" s="299">
        <v>1</v>
      </c>
      <c r="E13" s="299">
        <f t="shared" ref="E13:E18" si="4">IF(B13&gt;0,SUM(B13:D13),"")</f>
        <v>16</v>
      </c>
      <c r="F13" s="300">
        <f>IF(B13&gt;0,LOOKUP(E13,'Stat Bonuses'!A2:A101,'Stat Bonuses'!B2:B101),"")</f>
        <v>3</v>
      </c>
      <c r="G13" s="286"/>
      <c r="H13" s="316" t="s">
        <v>1288</v>
      </c>
      <c r="I13" s="317"/>
      <c r="J13" s="318"/>
      <c r="K13" s="319" t="s">
        <v>1546</v>
      </c>
      <c r="L13" s="320"/>
      <c r="M13" s="321">
        <f>IF(B11=0,"",((E11+(E7+E14)/2+(H2*2))*1.5)+(E2*7))</f>
        <v>71.25</v>
      </c>
      <c r="N13" s="322"/>
      <c r="AB13" s="179" t="s">
        <v>806</v>
      </c>
      <c r="AC13" s="275">
        <f>M6</f>
        <v>27</v>
      </c>
      <c r="AN13"/>
      <c r="AO13"/>
    </row>
    <row r="14" spans="1:41">
      <c r="A14" s="298" t="s">
        <v>1062</v>
      </c>
      <c r="B14" s="441">
        <v>15</v>
      </c>
      <c r="C14" s="304">
        <f>IF(E1&gt;0,LOOKUP(E1,Species!A2:A65,Species!I2:I65),"")</f>
        <v>0</v>
      </c>
      <c r="D14" s="304">
        <v>1</v>
      </c>
      <c r="E14" s="304">
        <f t="shared" si="4"/>
        <v>16</v>
      </c>
      <c r="F14" s="305">
        <f>IF(B14&gt;0,LOOKUP(E14,'Stat Bonuses'!A2:A101,'Stat Bonuses'!B2:B101)+3,"")</f>
        <v>6</v>
      </c>
      <c r="G14" s="286"/>
      <c r="H14" s="323" t="s">
        <v>1717</v>
      </c>
      <c r="I14" s="284"/>
      <c r="J14" s="324" t="s">
        <v>657</v>
      </c>
      <c r="K14" s="286"/>
      <c r="L14" s="325" t="s">
        <v>638</v>
      </c>
      <c r="M14" s="326"/>
      <c r="N14" s="327" t="s">
        <v>1476</v>
      </c>
      <c r="AB14" s="179" t="s">
        <v>1193</v>
      </c>
      <c r="AC14" s="275">
        <f>M8</f>
        <v>23</v>
      </c>
      <c r="AN14"/>
      <c r="AO14"/>
    </row>
    <row r="15" spans="1:41">
      <c r="A15" s="298" t="s">
        <v>1587</v>
      </c>
      <c r="B15" s="441">
        <v>15</v>
      </c>
      <c r="C15" s="304">
        <f>IF(E1&gt;0,LOOKUP(E1,Species!A2:A65,Species!J2:J65),"")</f>
        <v>0</v>
      </c>
      <c r="D15" s="304">
        <v>1</v>
      </c>
      <c r="E15" s="304">
        <f t="shared" si="4"/>
        <v>16</v>
      </c>
      <c r="F15" s="305">
        <f>IF(B15&gt;0,LOOKUP(E15,'Stat Bonuses'!A2:A101,'Stat Bonuses'!B2:B101),"")</f>
        <v>3</v>
      </c>
      <c r="G15" s="286"/>
      <c r="H15" s="323"/>
      <c r="I15" s="284"/>
      <c r="J15" s="324" t="s">
        <v>1303</v>
      </c>
      <c r="K15" s="328" t="s">
        <v>1477</v>
      </c>
      <c r="L15" s="293">
        <f>M13/2-1</f>
        <v>34.625</v>
      </c>
      <c r="M15" s="329" t="s">
        <v>1718</v>
      </c>
      <c r="N15" s="303">
        <v>0</v>
      </c>
      <c r="S15" s="176"/>
      <c r="AB15" s="179" t="s">
        <v>38</v>
      </c>
      <c r="AC15" s="275">
        <f>M9</f>
        <v>22</v>
      </c>
      <c r="AN15"/>
      <c r="AO15"/>
    </row>
    <row r="16" spans="1:41">
      <c r="A16" s="298" t="s">
        <v>1441</v>
      </c>
      <c r="B16" s="441">
        <v>11</v>
      </c>
      <c r="C16" s="304">
        <f>IF(E1&gt;0,LOOKUP(E1,Species!A2:A65,Species!K2:K65),"")</f>
        <v>0</v>
      </c>
      <c r="D16" s="304"/>
      <c r="E16" s="304">
        <f t="shared" si="4"/>
        <v>11</v>
      </c>
      <c r="F16" s="305">
        <f>IF(B16&gt;0,LOOKUP(E16,'Stat Bonuses'!A2:A101,'Stat Bonuses'!B2:B101),"")</f>
        <v>0</v>
      </c>
      <c r="G16" s="286"/>
      <c r="H16" s="330"/>
      <c r="I16" s="284"/>
      <c r="J16" s="331"/>
      <c r="K16" s="332" t="s">
        <v>1478</v>
      </c>
      <c r="L16" s="333">
        <f>M13*M16</f>
        <v>35.625</v>
      </c>
      <c r="M16" s="334">
        <v>0.5</v>
      </c>
      <c r="N16" s="335">
        <f>-1+1</f>
        <v>0</v>
      </c>
      <c r="S16" s="176"/>
      <c r="AB16" s="179" t="s">
        <v>961</v>
      </c>
      <c r="AC16" s="275">
        <f>11+F14+F11+E2</f>
        <v>24</v>
      </c>
      <c r="AN16"/>
      <c r="AO16"/>
    </row>
    <row r="17" spans="1:41" ht="13" customHeight="1">
      <c r="A17" s="298" t="s">
        <v>1632</v>
      </c>
      <c r="B17" s="441">
        <v>15</v>
      </c>
      <c r="C17" s="304">
        <f>IF(E1&gt;0,LOOKUP(E1,Species!A2:A65,Species!L2:L65),"")</f>
        <v>0</v>
      </c>
      <c r="D17" s="304"/>
      <c r="E17" s="304">
        <f t="shared" si="4"/>
        <v>15</v>
      </c>
      <c r="F17" s="305">
        <f>IF(B17&gt;0,LOOKUP(E17,'Stat Bonuses'!A2:A101,'Stat Bonuses'!B2:B101),"")</f>
        <v>2</v>
      </c>
      <c r="G17" s="286"/>
      <c r="H17" s="330"/>
      <c r="I17" s="284"/>
      <c r="J17" s="331"/>
      <c r="K17" s="328" t="s">
        <v>1115</v>
      </c>
      <c r="L17" s="293">
        <f>M13*M17</f>
        <v>53.4375</v>
      </c>
      <c r="M17" s="336">
        <v>0.75</v>
      </c>
      <c r="N17" s="303">
        <f>-2+1</f>
        <v>-1</v>
      </c>
      <c r="S17" s="176"/>
      <c r="AB17" s="179" t="s">
        <v>962</v>
      </c>
      <c r="AC17" s="275">
        <f>11+F14+F17+E2</f>
        <v>22</v>
      </c>
      <c r="AN17"/>
      <c r="AO17"/>
    </row>
    <row r="18" spans="1:41" ht="14" thickBot="1">
      <c r="A18" s="298" t="s">
        <v>1430</v>
      </c>
      <c r="B18" s="339">
        <v>15</v>
      </c>
      <c r="C18" s="309">
        <f>IF(E1&gt;0,LOOKUP(E1,Species!A2:A65,Species!M2:M65),"")</f>
        <v>0</v>
      </c>
      <c r="D18" s="309"/>
      <c r="E18" s="309">
        <f t="shared" si="4"/>
        <v>15</v>
      </c>
      <c r="F18" s="310">
        <f>IF(B18&gt;0,LOOKUP(E18,'Stat Bonuses'!A2:A101,'Stat Bonuses'!B2:B101),"")</f>
        <v>2</v>
      </c>
      <c r="G18" s="286"/>
      <c r="H18" s="330"/>
      <c r="I18" s="284"/>
      <c r="J18" s="331"/>
      <c r="K18" s="332" t="s">
        <v>1117</v>
      </c>
      <c r="L18" s="333">
        <f>M13*M18</f>
        <v>60.5625</v>
      </c>
      <c r="M18" s="334">
        <v>0.85</v>
      </c>
      <c r="N18" s="335">
        <f>-3+1</f>
        <v>-2</v>
      </c>
      <c r="S18" s="176"/>
      <c r="AB18" s="179" t="s">
        <v>1644</v>
      </c>
      <c r="AC18" s="275">
        <f>(C24+D24+E24)/3</f>
        <v>7</v>
      </c>
      <c r="AN18"/>
      <c r="AO18"/>
    </row>
    <row r="19" spans="1:41" ht="14" thickBot="1">
      <c r="A19" s="283" t="s">
        <v>2025</v>
      </c>
      <c r="B19" s="293"/>
      <c r="C19" s="337"/>
      <c r="D19" s="293"/>
      <c r="E19" s="293"/>
      <c r="F19" s="293"/>
      <c r="G19" s="286"/>
      <c r="H19" s="330"/>
      <c r="I19" s="284"/>
      <c r="J19" s="331"/>
      <c r="K19" s="328" t="s">
        <v>1118</v>
      </c>
      <c r="L19" s="293">
        <f>M13*M19</f>
        <v>64.125</v>
      </c>
      <c r="M19" s="336">
        <v>0.9</v>
      </c>
      <c r="N19" s="303">
        <f>-4+1</f>
        <v>-3</v>
      </c>
      <c r="S19" s="176"/>
      <c r="AB19" s="179" t="s">
        <v>1855</v>
      </c>
      <c r="AC19" s="276">
        <f>M13</f>
        <v>71.25</v>
      </c>
      <c r="AN19"/>
      <c r="AO19"/>
    </row>
    <row r="20" spans="1:41" ht="14" thickBot="1">
      <c r="A20" s="298" t="s">
        <v>1180</v>
      </c>
      <c r="B20" s="338">
        <f>IF(B13&gt;0,(B13+B15)/2,"")</f>
        <v>15</v>
      </c>
      <c r="C20" s="299" t="s">
        <v>639</v>
      </c>
      <c r="D20" s="299" t="s">
        <v>639</v>
      </c>
      <c r="E20" s="299">
        <f>IF(B13&gt;0,(E13+E15)/2,"")</f>
        <v>16</v>
      </c>
      <c r="F20" s="300">
        <f>IF(B20&gt;0,LOOKUP(E20,'Stat Bonuses'!A2:A101,'Stat Bonuses'!B2:B101+3),"")</f>
        <v>6</v>
      </c>
      <c r="G20" s="293"/>
      <c r="H20" s="330"/>
      <c r="I20" s="284"/>
      <c r="J20" s="331"/>
      <c r="K20" s="332" t="s">
        <v>1286</v>
      </c>
      <c r="L20" s="333">
        <f>M13*M20</f>
        <v>67.6875</v>
      </c>
      <c r="M20" s="334">
        <v>0.95</v>
      </c>
      <c r="N20" s="335">
        <f>-5+1</f>
        <v>-4</v>
      </c>
      <c r="R20" s="173" t="s">
        <v>1279</v>
      </c>
      <c r="S20" s="205" t="s">
        <v>1105</v>
      </c>
      <c r="AB20" s="179" t="s">
        <v>1595</v>
      </c>
      <c r="AC20" s="277">
        <f>SUM(AC1:AC19)</f>
        <v>461.25</v>
      </c>
      <c r="AN20"/>
      <c r="AO20"/>
    </row>
    <row r="21" spans="1:41" ht="14" thickBot="1">
      <c r="A21" s="298" t="s">
        <v>1759</v>
      </c>
      <c r="B21" s="339">
        <f>IF(B20="","",(B20+B9)/2)</f>
        <v>16.5</v>
      </c>
      <c r="C21" s="309" t="s">
        <v>639</v>
      </c>
      <c r="D21" s="309" t="s">
        <v>639</v>
      </c>
      <c r="E21" s="309">
        <f>IF(E20="","",(E20+E9)/2)</f>
        <v>17</v>
      </c>
      <c r="F21" s="310">
        <f>IF(B21&gt;0,LOOKUP(E21,'Stat Bonuses'!A2:A101,'Stat Bonuses'!B2:B101+3),"")</f>
        <v>6</v>
      </c>
      <c r="G21" s="293"/>
      <c r="H21" s="301"/>
      <c r="I21" s="284"/>
      <c r="J21" s="331"/>
      <c r="K21" s="328" t="s">
        <v>1716</v>
      </c>
      <c r="L21" s="293">
        <f>M13*M21</f>
        <v>71.25</v>
      </c>
      <c r="M21" s="336">
        <v>1</v>
      </c>
      <c r="N21" s="303" t="s">
        <v>639</v>
      </c>
      <c r="R21" s="173" t="s">
        <v>1375</v>
      </c>
      <c r="S21" s="173" t="s">
        <v>1563</v>
      </c>
      <c r="AB21" s="179" t="s">
        <v>1856</v>
      </c>
      <c r="AC21" s="277">
        <f>AC20/50</f>
        <v>9.2249999999999996</v>
      </c>
    </row>
    <row r="22" spans="1:41" ht="14" thickBot="1">
      <c r="A22" s="301"/>
      <c r="B22" s="284"/>
      <c r="C22" s="284"/>
      <c r="D22" s="284"/>
      <c r="E22" s="284"/>
      <c r="F22" s="284"/>
      <c r="G22" s="284"/>
      <c r="H22" s="311"/>
      <c r="I22" s="314"/>
      <c r="J22" s="340"/>
      <c r="K22" s="314" t="s">
        <v>1287</v>
      </c>
      <c r="L22" s="315">
        <f>M13*M22</f>
        <v>85.5</v>
      </c>
      <c r="M22" s="341">
        <v>1.2</v>
      </c>
      <c r="N22" s="313" t="s">
        <v>639</v>
      </c>
      <c r="R22" s="173" t="s">
        <v>1066</v>
      </c>
      <c r="S22" s="173" t="s">
        <v>1575</v>
      </c>
      <c r="T22" s="173" t="s">
        <v>1589</v>
      </c>
    </row>
    <row r="23" spans="1:41">
      <c r="A23" s="278" t="s">
        <v>1715</v>
      </c>
      <c r="B23" s="295"/>
      <c r="C23" s="295" t="s">
        <v>1304</v>
      </c>
      <c r="D23" s="295" t="s">
        <v>1474</v>
      </c>
      <c r="E23" s="295" t="s">
        <v>1475</v>
      </c>
      <c r="F23" s="297" t="s">
        <v>1676</v>
      </c>
      <c r="G23" s="325"/>
      <c r="H23" s="283" t="s">
        <v>520</v>
      </c>
      <c r="I23" s="284"/>
      <c r="J23" s="325"/>
      <c r="K23" s="325" t="s">
        <v>1702</v>
      </c>
      <c r="L23" s="325" t="s">
        <v>1799</v>
      </c>
      <c r="M23" s="325" t="s">
        <v>1760</v>
      </c>
      <c r="N23" s="327" t="s">
        <v>1595</v>
      </c>
      <c r="P23" s="111"/>
      <c r="R23" s="111" t="s">
        <v>823</v>
      </c>
      <c r="S23" s="111" t="s">
        <v>36</v>
      </c>
      <c r="T23" s="167" t="s">
        <v>1679</v>
      </c>
      <c r="U23" s="110"/>
      <c r="V23" s="110"/>
      <c r="W23" s="110"/>
      <c r="X23" s="110"/>
      <c r="Y23" s="110"/>
      <c r="Z23" s="110"/>
      <c r="AA23" s="110"/>
      <c r="AD23" s="110"/>
      <c r="AE23" s="110"/>
      <c r="AF23" s="110"/>
    </row>
    <row r="24" spans="1:41">
      <c r="A24" s="301" t="s">
        <v>1761</v>
      </c>
      <c r="B24" s="286"/>
      <c r="C24" s="293">
        <f>IF(A24&gt;0,LOOKUP(A24,Armor!A2:A62,Armor!B2:B62),"")</f>
        <v>4</v>
      </c>
      <c r="D24" s="293">
        <f>IF(A24&gt;0,LOOKUP(A24,Armor!A2:A62,Armor!C2:C62),"")</f>
        <v>10</v>
      </c>
      <c r="E24" s="293">
        <f>IF(A24&gt;0,LOOKUP(A24,Armor!A2:A62,Armor!D2:D62),"")</f>
        <v>7</v>
      </c>
      <c r="F24" s="303">
        <f>IF(A24&gt;0,LOOKUP(A24,Armor!A2:A62,Armor!E2:E62),"")</f>
        <v>1</v>
      </c>
      <c r="G24" s="286"/>
      <c r="H24" s="442" t="s">
        <v>1762</v>
      </c>
      <c r="I24" s="342"/>
      <c r="J24" s="342"/>
      <c r="K24" s="343">
        <v>9</v>
      </c>
      <c r="L24" s="332" t="str">
        <f>IF(H24&gt;0,LOOKUP(H24,Skills!A2:A473,Skills!B2:B473),"")</f>
        <v>Agility</v>
      </c>
      <c r="M24" s="343">
        <f>IF(H24&gt;0,LOOKUP(L24,$R$24:$R$37,$S$24:$S$37),"")</f>
        <v>4</v>
      </c>
      <c r="N24" s="344" t="str">
        <f>IF(H24&gt;0,$T$22&amp;T24,"")</f>
        <v>D20+13</v>
      </c>
      <c r="R24" s="11" t="s">
        <v>1922</v>
      </c>
      <c r="S24" s="273">
        <f>F9</f>
        <v>4</v>
      </c>
      <c r="T24">
        <f>K24+M24</f>
        <v>13</v>
      </c>
      <c r="AB24" s="110"/>
      <c r="AC24" s="110"/>
      <c r="AF24"/>
    </row>
    <row r="25" spans="1:41" ht="14" thickBot="1">
      <c r="A25" s="311" t="s">
        <v>1763</v>
      </c>
      <c r="B25" s="345"/>
      <c r="C25" s="315">
        <f>IF(A25&gt;0,LOOKUP(A25,Armor!A2:A62,Armor!B2:B62),"")</f>
        <v>0</v>
      </c>
      <c r="D25" s="315">
        <f>IF(A25&gt;0,LOOKUP(A25,Armor!A2:A62,Armor!C2:C62),"")</f>
        <v>0</v>
      </c>
      <c r="E25" s="315">
        <f>IF(A25&gt;0,LOOKUP(A25,Armor!A2:A62,Armor!D2:D62),"")</f>
        <v>0</v>
      </c>
      <c r="F25" s="313">
        <f>IF(A25&gt;0,LOOKUP(A25,Armor!A2:A62,Armor!E2:E62),"")</f>
        <v>0</v>
      </c>
      <c r="G25" s="286"/>
      <c r="H25" s="442" t="s">
        <v>1764</v>
      </c>
      <c r="I25" s="342"/>
      <c r="J25" s="342"/>
      <c r="K25" s="343">
        <v>8</v>
      </c>
      <c r="L25" s="332" t="str">
        <f>IF(H25&gt;0,LOOKUP(H25,Skills!A2:A473,Skills!B2:B473),"")</f>
        <v>Strength</v>
      </c>
      <c r="M25" s="343">
        <f t="shared" ref="M25:M36" si="5">IF(H25&gt;0,LOOKUP(L25,$R$24:$R$37,$S$24:$S$37),"")</f>
        <v>2</v>
      </c>
      <c r="N25" s="344" t="str">
        <f t="shared" ref="N25:N37" si="6">IF(H25&gt;0,$T$22&amp;T25,"")</f>
        <v>D20+10</v>
      </c>
      <c r="R25" s="11" t="s">
        <v>1430</v>
      </c>
      <c r="S25" s="273">
        <f>F18</f>
        <v>2</v>
      </c>
      <c r="T25">
        <f t="shared" ref="T25:T35" si="7">K25+M25</f>
        <v>10</v>
      </c>
      <c r="AF25"/>
    </row>
    <row r="26" spans="1:41" ht="14" thickBot="1">
      <c r="A26" s="301"/>
      <c r="B26" s="284"/>
      <c r="C26" s="346"/>
      <c r="D26" s="346"/>
      <c r="E26" s="346"/>
      <c r="F26" s="284"/>
      <c r="G26" s="284"/>
      <c r="H26" s="442" t="s">
        <v>2070</v>
      </c>
      <c r="I26" s="342"/>
      <c r="J26" s="342"/>
      <c r="K26" s="343">
        <v>8</v>
      </c>
      <c r="L26" s="332" t="str">
        <f>IF(H26&gt;0,LOOKUP(H26,Skills!A2:A473,Skills!B2:B473),"")</f>
        <v>Agility</v>
      </c>
      <c r="M26" s="343">
        <f t="shared" si="5"/>
        <v>4</v>
      </c>
      <c r="N26" s="344" t="str">
        <f t="shared" si="6"/>
        <v>D20+12</v>
      </c>
      <c r="R26" s="11" t="s">
        <v>1180</v>
      </c>
      <c r="S26" s="273">
        <f>F20</f>
        <v>6</v>
      </c>
      <c r="T26">
        <f t="shared" si="7"/>
        <v>12</v>
      </c>
      <c r="AF26"/>
    </row>
    <row r="27" spans="1:41">
      <c r="A27" s="278" t="s">
        <v>1503</v>
      </c>
      <c r="B27" s="295"/>
      <c r="C27" s="347" t="s">
        <v>1504</v>
      </c>
      <c r="D27" s="347" t="s">
        <v>1526</v>
      </c>
      <c r="E27" s="347" t="s">
        <v>2035</v>
      </c>
      <c r="F27" s="297" t="s">
        <v>1303</v>
      </c>
      <c r="G27" s="285"/>
      <c r="H27" s="442" t="s">
        <v>2071</v>
      </c>
      <c r="I27" s="348"/>
      <c r="J27" s="348"/>
      <c r="K27" s="405">
        <v>9</v>
      </c>
      <c r="L27" s="332" t="str">
        <f>IF(H27&gt;0,LOOKUP(H27,Skills!A2:A473,Skills!B2:B473),"")</f>
        <v>Dexterity</v>
      </c>
      <c r="M27" s="343">
        <f t="shared" si="5"/>
        <v>4</v>
      </c>
      <c r="N27" s="344" t="str">
        <f t="shared" si="6"/>
        <v>D20+13</v>
      </c>
      <c r="R27" s="11" t="s">
        <v>1987</v>
      </c>
      <c r="S27" s="273">
        <f>F10</f>
        <v>4</v>
      </c>
      <c r="T27">
        <f t="shared" si="7"/>
        <v>13</v>
      </c>
      <c r="AF27"/>
    </row>
    <row r="28" spans="1:41">
      <c r="A28" s="301" t="s">
        <v>1126</v>
      </c>
      <c r="B28" s="284"/>
      <c r="C28" s="293">
        <v>0</v>
      </c>
      <c r="D28" s="293">
        <v>1</v>
      </c>
      <c r="E28" s="293">
        <f>F6</f>
        <v>2</v>
      </c>
      <c r="F28" s="303" t="str">
        <f>IF(E28=0,R21,IF(E28&lt;0,R21&amp;E28,IF(E28&gt;0,S21&amp;E28)))</f>
        <v>D6+2</v>
      </c>
      <c r="G28" s="286"/>
      <c r="H28" s="443"/>
      <c r="I28" s="342" t="s">
        <v>1916</v>
      </c>
      <c r="J28" s="342"/>
      <c r="K28" s="343"/>
      <c r="L28" s="332" t="str">
        <f>IF(H28&gt;0,LOOKUP(H28,Skills!A2:A473,Skills!B2:B473),"")</f>
        <v/>
      </c>
      <c r="M28" s="343" t="str">
        <f t="shared" si="5"/>
        <v/>
      </c>
      <c r="N28" s="344" t="str">
        <f t="shared" si="6"/>
        <v/>
      </c>
      <c r="R28" s="11" t="s">
        <v>418</v>
      </c>
      <c r="S28" s="273">
        <f>F8</f>
        <v>4</v>
      </c>
      <c r="T28" t="e">
        <f t="shared" si="7"/>
        <v>#VALUE!</v>
      </c>
      <c r="AF28"/>
    </row>
    <row r="29" spans="1:41" ht="14" thickBot="1">
      <c r="A29" s="311" t="s">
        <v>1127</v>
      </c>
      <c r="B29" s="314"/>
      <c r="C29" s="315">
        <v>0</v>
      </c>
      <c r="D29" s="315">
        <v>2</v>
      </c>
      <c r="E29" s="315">
        <f>F6</f>
        <v>2</v>
      </c>
      <c r="F29" s="313" t="str">
        <f>IF(E29=0,R22,IF(E29&lt;0,R22&amp;E29,IF(E29&gt;0,S22&amp;E29)))</f>
        <v>2D6+2</v>
      </c>
      <c r="G29" s="286"/>
      <c r="H29" s="385"/>
      <c r="I29" s="342" t="s">
        <v>1997</v>
      </c>
      <c r="J29" s="348"/>
      <c r="K29" s="405"/>
      <c r="L29" s="332" t="str">
        <f>IF(H29&gt;0,LOOKUP(H29,Skills!A2:A473,Skills!B2:B473),"")</f>
        <v/>
      </c>
      <c r="M29" s="343" t="str">
        <f t="shared" si="5"/>
        <v/>
      </c>
      <c r="N29" s="344" t="str">
        <f t="shared" si="6"/>
        <v/>
      </c>
      <c r="R29" s="11" t="s">
        <v>1371</v>
      </c>
      <c r="S29" s="273">
        <f>F21</f>
        <v>6</v>
      </c>
      <c r="T29" t="e">
        <f t="shared" si="7"/>
        <v>#VALUE!</v>
      </c>
      <c r="AF29"/>
    </row>
    <row r="30" spans="1:41" ht="14" thickBot="1">
      <c r="A30" s="301"/>
      <c r="B30" s="284"/>
      <c r="C30" s="346"/>
      <c r="D30" s="346"/>
      <c r="E30" s="346"/>
      <c r="F30" s="284"/>
      <c r="G30" s="284"/>
      <c r="H30" s="385" t="s">
        <v>1998</v>
      </c>
      <c r="I30" s="342"/>
      <c r="J30" s="342"/>
      <c r="K30" s="405">
        <v>5</v>
      </c>
      <c r="L30" s="332" t="str">
        <f>IF(H30&gt;0,LOOKUP(H30,Skills!A2:A473,Skills!B2:B473),"")</f>
        <v>Agility</v>
      </c>
      <c r="M30" s="343">
        <f t="shared" si="5"/>
        <v>4</v>
      </c>
      <c r="N30" s="344" t="str">
        <f t="shared" si="6"/>
        <v>D20+9</v>
      </c>
      <c r="R30" s="11" t="s">
        <v>1833</v>
      </c>
      <c r="S30" s="273">
        <f>F13</f>
        <v>3</v>
      </c>
      <c r="T30">
        <f t="shared" si="7"/>
        <v>9</v>
      </c>
      <c r="AF30"/>
    </row>
    <row r="31" spans="1:41">
      <c r="A31" s="278" t="s">
        <v>1120</v>
      </c>
      <c r="B31" s="295" t="s">
        <v>1911</v>
      </c>
      <c r="C31" s="347" t="s">
        <v>1504</v>
      </c>
      <c r="D31" s="347" t="s">
        <v>1526</v>
      </c>
      <c r="E31" s="347" t="s">
        <v>2035</v>
      </c>
      <c r="F31" s="297" t="s">
        <v>1303</v>
      </c>
      <c r="G31" s="285"/>
      <c r="H31" s="385" t="s">
        <v>1999</v>
      </c>
      <c r="I31" s="342"/>
      <c r="J31" s="348"/>
      <c r="K31" s="343">
        <v>5</v>
      </c>
      <c r="L31" s="332" t="str">
        <f>IF(H31&gt;0,LOOKUP(H31,Skills!A2:A473,Skills!B2:B473),"")</f>
        <v>Agility</v>
      </c>
      <c r="M31" s="343">
        <f t="shared" si="5"/>
        <v>4</v>
      </c>
      <c r="N31" s="344" t="str">
        <f t="shared" si="6"/>
        <v>D20+9</v>
      </c>
      <c r="R31" s="11" t="s">
        <v>1587</v>
      </c>
      <c r="S31" s="273">
        <f>F15</f>
        <v>3</v>
      </c>
      <c r="T31">
        <f t="shared" si="7"/>
        <v>9</v>
      </c>
      <c r="AF31"/>
    </row>
    <row r="32" spans="1:41">
      <c r="A32" s="301" t="s">
        <v>2028</v>
      </c>
      <c r="B32" s="286">
        <f>IF(A32&gt;0,LOOKUP(A32,Melee!A2:A94,Melee!E2:E94),"")</f>
        <v>8</v>
      </c>
      <c r="C32" s="293">
        <f>IF(A32&gt;0,LOOKUP(A32,Melee!A2:A94,Melee!D2:D94),"")</f>
        <v>2</v>
      </c>
      <c r="D32" s="293">
        <f>IF(A32&gt;0,LOOKUP(A32,Melee!A2:A94,Melee!C2:C94),"")</f>
        <v>7</v>
      </c>
      <c r="E32" s="293">
        <f>IF(A32&gt;0,F6,"")</f>
        <v>2</v>
      </c>
      <c r="F32" s="303" t="str">
        <f>IF(A32=0,"",IF(E32=0,D32&amp;R21,IF(E32&lt;0,D32&amp;R21&amp;E32,IF(E32&gt;0,D32&amp;S21&amp;E32))))</f>
        <v>7D6+2</v>
      </c>
      <c r="G32" s="286"/>
      <c r="H32" s="385" t="s">
        <v>2000</v>
      </c>
      <c r="I32" s="342"/>
      <c r="J32" s="342"/>
      <c r="K32" s="405">
        <v>5</v>
      </c>
      <c r="L32" s="332" t="str">
        <f>IF(H32&gt;0,LOOKUP(H32,Skills!A2:A473,Skills!B2:B473),"")</f>
        <v>Dexterity</v>
      </c>
      <c r="M32" s="343">
        <f t="shared" si="5"/>
        <v>4</v>
      </c>
      <c r="N32" s="344" t="str">
        <f t="shared" si="6"/>
        <v>D20+9</v>
      </c>
      <c r="R32" s="11" t="s">
        <v>1632</v>
      </c>
      <c r="S32" s="273">
        <f>F17</f>
        <v>2</v>
      </c>
      <c r="T32">
        <f t="shared" si="7"/>
        <v>9</v>
      </c>
      <c r="AF32"/>
    </row>
    <row r="33" spans="1:43">
      <c r="A33" s="385" t="s">
        <v>2030</v>
      </c>
      <c r="B33" s="343">
        <f>IF(A33&gt;0,LOOKUP(A33,Melee!A2:A94,Melee!E2:E94),"")</f>
        <v>8</v>
      </c>
      <c r="C33" s="333">
        <f>IF(A33&gt;0,LOOKUP(A33,Melee!A2:A94,Melee!D2:D94),"")</f>
        <v>2</v>
      </c>
      <c r="D33" s="333">
        <f>IF(A33&gt;0,LOOKUP(A33,Melee!A2:A94,Melee!C2:C94),"")</f>
        <v>5</v>
      </c>
      <c r="E33" s="333">
        <f>IF(A33&gt;0,F6,"")</f>
        <v>2</v>
      </c>
      <c r="F33" s="335" t="str">
        <f>IF(A33=0,"",IF(E33=0,D33&amp;R21,IF(E33&lt;0,D33&amp;R21&amp;E33,IF(E33&gt;0,D33&amp;S21&amp;E33))))</f>
        <v>5D6+2</v>
      </c>
      <c r="G33" s="286"/>
      <c r="H33" s="385" t="s">
        <v>1815</v>
      </c>
      <c r="I33" s="342"/>
      <c r="J33" s="348"/>
      <c r="K33" s="343">
        <v>5</v>
      </c>
      <c r="L33" s="332" t="str">
        <f>IF(H33&gt;0,LOOKUP(H33,Skills!A2:A473,Skills!B2:B473),"")</f>
        <v>Dexterity</v>
      </c>
      <c r="M33" s="343">
        <f t="shared" si="5"/>
        <v>4</v>
      </c>
      <c r="N33" s="344" t="str">
        <f t="shared" si="6"/>
        <v>D20+9</v>
      </c>
      <c r="R33" s="11" t="s">
        <v>1441</v>
      </c>
      <c r="S33" s="273">
        <f>F16</f>
        <v>0</v>
      </c>
      <c r="T33">
        <f t="shared" si="7"/>
        <v>9</v>
      </c>
      <c r="AF33"/>
    </row>
    <row r="34" spans="1:43">
      <c r="A34" s="301" t="s">
        <v>1480</v>
      </c>
      <c r="B34" s="286">
        <f>IF(A34&gt;0,LOOKUP(A34,Melee!A2:A94,Melee!E2:E94),"")</f>
        <v>10</v>
      </c>
      <c r="C34" s="293">
        <f>IF(A34&gt;0,LOOKUP(A34,Melee!A2:A94,Melee!D2:D94),"")</f>
        <v>1</v>
      </c>
      <c r="D34" s="293">
        <f>IF(A34&gt;0,LOOKUP(A34,Melee!A2:A94,Melee!C2:C94),"")</f>
        <v>3</v>
      </c>
      <c r="E34" s="293">
        <f>IF(A34&gt;0,F6,"")</f>
        <v>2</v>
      </c>
      <c r="F34" s="303" t="str">
        <f>IF(A34=0,"",IF(E34=0,D34&amp;R21,IF(E34&lt;0,D34&amp;R21&amp;E34,IF(E34&gt;0,D34&amp;S21&amp;E34))))</f>
        <v>3D6+2</v>
      </c>
      <c r="G34" s="286"/>
      <c r="H34" s="442" t="s">
        <v>1816</v>
      </c>
      <c r="I34" s="348"/>
      <c r="J34" s="342"/>
      <c r="K34" s="405">
        <v>9</v>
      </c>
      <c r="L34" s="332" t="str">
        <f>IF(H34&gt;0,LOOKUP(H34,Skills!A2:A473,Skills!B2:B473),"")</f>
        <v>Dexterity</v>
      </c>
      <c r="M34" s="343">
        <f t="shared" si="5"/>
        <v>4</v>
      </c>
      <c r="N34" s="344" t="str">
        <f t="shared" si="6"/>
        <v>D20+13</v>
      </c>
      <c r="R34" s="11" t="s">
        <v>1631</v>
      </c>
      <c r="S34" s="273">
        <f>F7</f>
        <v>2</v>
      </c>
      <c r="T34">
        <f t="shared" si="7"/>
        <v>13</v>
      </c>
      <c r="AF34"/>
    </row>
    <row r="35" spans="1:43">
      <c r="A35" s="385"/>
      <c r="B35" s="343" t="str">
        <f>IF(A35&gt;0,LOOKUP(A35,Melee!A2:A94,Melee!E2:E94),"")</f>
        <v/>
      </c>
      <c r="C35" s="333" t="str">
        <f>IF(A35&gt;0,LOOKUP(A35,Melee!A2:A94,Melee!D2:D94),"")</f>
        <v/>
      </c>
      <c r="D35" s="333" t="str">
        <f>IF(A35&gt;0,LOOKUP(A35,Melee!A2:A94,Melee!C2:C94),"")</f>
        <v/>
      </c>
      <c r="E35" s="333" t="str">
        <f>IF(A35&gt;0,F6,"")</f>
        <v/>
      </c>
      <c r="F35" s="335" t="str">
        <f>IF(A35=0,"",IF(E35=0,D35&amp;R21,IF(E35&lt;0,D35&amp;R21&amp;E35,IF(E35&gt;0,D35&amp;S21&amp;E35))))</f>
        <v/>
      </c>
      <c r="G35" s="286"/>
      <c r="H35" s="442" t="s">
        <v>1817</v>
      </c>
      <c r="I35" s="342"/>
      <c r="J35" s="348"/>
      <c r="K35" s="343">
        <v>8</v>
      </c>
      <c r="L35" s="332" t="str">
        <f>IF(H35&gt;0,LOOKUP(H35,Skills!A2:A473,Skills!B2:B473),"")</f>
        <v>Dexterity</v>
      </c>
      <c r="M35" s="343">
        <f t="shared" si="5"/>
        <v>4</v>
      </c>
      <c r="N35" s="344" t="str">
        <f t="shared" si="6"/>
        <v>D20+12</v>
      </c>
      <c r="R35" s="11" t="s">
        <v>476</v>
      </c>
      <c r="S35" s="273">
        <f>F6</f>
        <v>2</v>
      </c>
      <c r="T35">
        <f t="shared" si="7"/>
        <v>12</v>
      </c>
      <c r="AF35"/>
    </row>
    <row r="36" spans="1:43">
      <c r="A36" s="301"/>
      <c r="B36" s="286" t="str">
        <f>IF(A36&gt;0,LOOKUP(A36,Melee!A2:A94,Melee!E2:E94),"")</f>
        <v/>
      </c>
      <c r="C36" s="293" t="str">
        <f>IF(A36&gt;0,LOOKUP(A36,Melee!A2:A94,Melee!D2:D94),"")</f>
        <v/>
      </c>
      <c r="D36" s="293" t="str">
        <f>IF(A36&gt;0,LOOKUP(A36,Melee!A2:A94,Melee!C2:C94),"")</f>
        <v/>
      </c>
      <c r="E36" s="293" t="str">
        <f>IF(A36&gt;0,F6,"")</f>
        <v/>
      </c>
      <c r="F36" s="303" t="str">
        <f>IF(A36=0,"",IF(E36=0,D36&amp;R21,IF(E36&lt;0,D36&amp;R21&amp;E36,IF(E36&gt;0,D36&amp;S21&amp;E36))))</f>
        <v/>
      </c>
      <c r="G36" s="286"/>
      <c r="H36" s="443" t="s">
        <v>1818</v>
      </c>
      <c r="I36" s="348"/>
      <c r="J36" s="342"/>
      <c r="K36" s="405">
        <v>5</v>
      </c>
      <c r="L36" s="332" t="str">
        <f>IF(H36&gt;0,LOOKUP(H36,Skills!A2:A473,Skills!B2:B473),"")</f>
        <v>Agility</v>
      </c>
      <c r="M36" s="343">
        <f t="shared" si="5"/>
        <v>4</v>
      </c>
      <c r="N36" s="344" t="str">
        <f t="shared" si="6"/>
        <v>D20+12</v>
      </c>
      <c r="R36" s="11" t="s">
        <v>1988</v>
      </c>
      <c r="S36" s="273">
        <f>F11</f>
        <v>4</v>
      </c>
      <c r="T36">
        <f>K36+M36+3</f>
        <v>12</v>
      </c>
      <c r="AF36"/>
    </row>
    <row r="37" spans="1:43" ht="14" thickBot="1">
      <c r="A37" s="311"/>
      <c r="B37" s="345" t="str">
        <f>IF(A37&gt;0,LOOKUP(A37,Melee!A2:A94,Melee!E2:E94),"")</f>
        <v/>
      </c>
      <c r="C37" s="315" t="str">
        <f>IF(A37&gt;0,LOOKUP(A37,Melee!A2:A94,Melee!D2:D94),"")</f>
        <v/>
      </c>
      <c r="D37" s="315" t="str">
        <f>IF(A37&gt;0,LOOKUP(A37,Melee!A2:A94,Melee!C2:C94),"")</f>
        <v/>
      </c>
      <c r="E37" s="315" t="str">
        <f>IF(A37&gt;0,F6,"")</f>
        <v/>
      </c>
      <c r="F37" s="313" t="str">
        <f>IF(A37=0,"",IF(E37=0,D37&amp;R21,IF(E37&lt;0,D37&amp;R21&amp;E37,IF(E37&gt;0,D37&amp;S21&amp;E37))))</f>
        <v/>
      </c>
      <c r="G37" s="286"/>
      <c r="H37" s="311" t="s">
        <v>1819</v>
      </c>
      <c r="I37" s="314"/>
      <c r="J37" s="314"/>
      <c r="K37" s="345">
        <v>8</v>
      </c>
      <c r="L37" s="349" t="str">
        <f>IF(H37&gt;0,LOOKUP(H37,Skills!A2:A473,Skills!B2:B473),"")</f>
        <v>Agility</v>
      </c>
      <c r="M37" s="345">
        <f>IF(H37&gt;0,LOOKUP(L37,$R$24:$R$37,$S$24:$S$37),"")</f>
        <v>4</v>
      </c>
      <c r="N37" s="350" t="str">
        <f t="shared" si="6"/>
        <v>D20+15</v>
      </c>
      <c r="R37" s="11" t="s">
        <v>1062</v>
      </c>
      <c r="S37" s="273">
        <f>F14</f>
        <v>6</v>
      </c>
      <c r="T37">
        <f>K37+M37+3</f>
        <v>15</v>
      </c>
      <c r="AF37"/>
    </row>
    <row r="38" spans="1:43" ht="14" thickBot="1">
      <c r="A38" s="301"/>
      <c r="B38" s="286"/>
      <c r="C38" s="286"/>
      <c r="D38" s="286"/>
      <c r="E38" s="293"/>
      <c r="F38" s="286"/>
      <c r="G38" s="284"/>
      <c r="H38" s="284"/>
      <c r="I38" s="284"/>
      <c r="J38" s="284"/>
      <c r="K38" s="284"/>
      <c r="L38" s="284"/>
      <c r="M38" s="284"/>
      <c r="N38" s="294"/>
    </row>
    <row r="39" spans="1:43" ht="13" customHeight="1">
      <c r="A39" s="278" t="s">
        <v>1146</v>
      </c>
      <c r="B39" s="295" t="s">
        <v>1911</v>
      </c>
      <c r="C39" s="295" t="s">
        <v>2035</v>
      </c>
      <c r="D39" s="351" t="s">
        <v>1114</v>
      </c>
      <c r="E39" s="352" t="s">
        <v>1303</v>
      </c>
      <c r="F39" s="295" t="s">
        <v>1106</v>
      </c>
      <c r="G39" s="295"/>
      <c r="H39" s="295" t="s">
        <v>1303</v>
      </c>
      <c r="I39" s="351" t="s">
        <v>2063</v>
      </c>
      <c r="J39" s="352" t="s">
        <v>1303</v>
      </c>
      <c r="K39" s="295" t="s">
        <v>939</v>
      </c>
      <c r="L39" s="295" t="s">
        <v>1303</v>
      </c>
      <c r="M39" s="351" t="s">
        <v>1352</v>
      </c>
      <c r="N39" s="297" t="s">
        <v>1303</v>
      </c>
      <c r="O39"/>
      <c r="P39"/>
      <c r="Q39"/>
      <c r="R39" s="30" t="s">
        <v>1146</v>
      </c>
      <c r="S39" s="119" t="s">
        <v>1911</v>
      </c>
      <c r="T39" s="119" t="s">
        <v>2035</v>
      </c>
      <c r="U39" s="120" t="s">
        <v>1114</v>
      </c>
      <c r="V39" s="121" t="s">
        <v>1303</v>
      </c>
      <c r="W39" s="119" t="s">
        <v>1106</v>
      </c>
      <c r="X39" s="119"/>
      <c r="Y39" s="119" t="s">
        <v>1303</v>
      </c>
      <c r="Z39" s="120" t="s">
        <v>2063</v>
      </c>
      <c r="AA39" s="121" t="s">
        <v>1303</v>
      </c>
      <c r="AB39" s="119" t="s">
        <v>939</v>
      </c>
      <c r="AC39" s="119" t="s">
        <v>1303</v>
      </c>
      <c r="AD39" s="120" t="s">
        <v>1352</v>
      </c>
      <c r="AE39" s="122" t="s">
        <v>1303</v>
      </c>
      <c r="AF39"/>
      <c r="AG39"/>
    </row>
    <row r="40" spans="1:43" ht="13" customHeight="1">
      <c r="A40" s="301" t="s">
        <v>1968</v>
      </c>
      <c r="B40" s="286">
        <f>S40</f>
        <v>20</v>
      </c>
      <c r="C40" s="293">
        <f>IF(A40=0,"",IF(T40="Yes",F6,0))</f>
        <v>2</v>
      </c>
      <c r="D40" s="353" t="str">
        <f>U40</f>
        <v>0-2</v>
      </c>
      <c r="E40" s="354" t="str">
        <f>IF($A$40=0,"",IF($C$40=0,V40&amp;$R$21,V40&amp;$S$21&amp;$C$40))</f>
        <v>4D6+2</v>
      </c>
      <c r="F40" s="355" t="str">
        <f>W40</f>
        <v>3-5</v>
      </c>
      <c r="G40" s="355"/>
      <c r="H40" s="293" t="str">
        <f>IF($A$40=0,"",IF($C$40=0,Y40&amp;$R$21,Y40&amp;$S$21&amp;$C$40))</f>
        <v>3D6+2</v>
      </c>
      <c r="I40" s="353" t="str">
        <f>Z40</f>
        <v>6-10</v>
      </c>
      <c r="J40" s="354" t="str">
        <f>IF($A$40=0,"",IF($C$40=0,AA40&amp;$R$21,AA40&amp;$S$21&amp;$C$40))</f>
        <v>3D6+2</v>
      </c>
      <c r="K40" s="355" t="str">
        <f>AB40</f>
        <v>11-20</v>
      </c>
      <c r="L40" s="293" t="str">
        <f>IF($A$40=0,"",IF($C$40=0,AF40&amp;$R$21,AF40&amp;$S$21&amp;$C$40))</f>
        <v>2D6+2</v>
      </c>
      <c r="M40" s="353" t="str">
        <f>AD40</f>
        <v>21-30</v>
      </c>
      <c r="N40" s="356" t="str">
        <f>IF($A$40=0,"",IF($C$40=0,AG40&amp;$R$21,AG40&amp;$S$21&amp;$C$40))</f>
        <v>2D6+2</v>
      </c>
      <c r="O40"/>
      <c r="P40"/>
      <c r="Q40"/>
      <c r="R40" s="25" t="str">
        <f>A40</f>
        <v>Shuriken</v>
      </c>
      <c r="S40" s="11">
        <f>IF(A40&gt;0,LOOKUP(A40,Distance!A2:A15,Distance!D2:D15),"")</f>
        <v>20</v>
      </c>
      <c r="T40" s="77" t="str">
        <f>IF(A40&gt;0,LOOKUP(A40,Distance!$A$2:$A$15,Distance!$J$2:$J$15),"")</f>
        <v>Yes</v>
      </c>
      <c r="U40" s="58" t="str">
        <f>IF(A40&gt;0,LOOKUP(A40,Distance!A2:A15,Distance!E2:E15),"")</f>
        <v>0-2</v>
      </c>
      <c r="V40" s="56">
        <f>IF(A40&gt;0,Y40+1,"")</f>
        <v>4</v>
      </c>
      <c r="W40" s="57" t="str">
        <f>IF(A40&gt;0,LOOKUP(A40,Distance!A2:A15,Distance!F2:F15),"")</f>
        <v>3-5</v>
      </c>
      <c r="X40" s="57"/>
      <c r="Y40" s="16">
        <f>IF(A40&gt;0,LOOKUP(A40,Distance!A2:A15,Distance!C2:C15),"")</f>
        <v>3</v>
      </c>
      <c r="Z40" s="58" t="str">
        <f>IF(A40&gt;0,LOOKUP(A40,Distance!A2:A15,Distance!G2:G15),"")</f>
        <v>6-10</v>
      </c>
      <c r="AA40" s="56">
        <f>Y40</f>
        <v>3</v>
      </c>
      <c r="AB40" s="57" t="str">
        <f>IF(A40&gt;0,LOOKUP(A40,Distance!A2:A15,Distance!H2:H15),"")</f>
        <v>11-20</v>
      </c>
      <c r="AC40" s="16">
        <f>IF(A40&gt;0,Y40*0.75,"")</f>
        <v>2.25</v>
      </c>
      <c r="AD40" s="58" t="str">
        <f>IF(A40&gt;0,LOOKUP(A40,Distance!A2:A15,Distance!I2:I15),"")</f>
        <v>21-30</v>
      </c>
      <c r="AE40" s="59">
        <f>IF(A40&gt;0,Y40*0.5,"")</f>
        <v>1.5</v>
      </c>
      <c r="AF40" t="str">
        <f>FIXED(AC40,0)</f>
        <v>2</v>
      </c>
      <c r="AG40" t="str">
        <f>FIXED(AE40,0)</f>
        <v>2</v>
      </c>
      <c r="AI40"/>
      <c r="AJ40"/>
      <c r="AK40"/>
      <c r="AL40"/>
      <c r="AM40"/>
      <c r="AN40"/>
      <c r="AO40"/>
      <c r="AP40"/>
      <c r="AQ40"/>
    </row>
    <row r="41" spans="1:43">
      <c r="A41" s="385"/>
      <c r="B41" s="343" t="str">
        <f>S41</f>
        <v/>
      </c>
      <c r="C41" s="333" t="str">
        <f>IF(A41=0,"",IF(T41="Yes",F7,0))</f>
        <v/>
      </c>
      <c r="D41" s="357" t="str">
        <f>U41</f>
        <v/>
      </c>
      <c r="E41" s="358" t="str">
        <f>IF($A$41=0,"",IF($C$41=0,V41&amp;$R$21,V41&amp;$S$21&amp;$C$41))</f>
        <v/>
      </c>
      <c r="F41" s="359" t="str">
        <f>W41</f>
        <v/>
      </c>
      <c r="G41" s="359"/>
      <c r="H41" s="333" t="str">
        <f>IF($A$41=0,"",IF($C$41=0,Y41&amp;$R$21,Y41&amp;$S$21&amp;$C$41))</f>
        <v/>
      </c>
      <c r="I41" s="360" t="str">
        <f>Z41</f>
        <v/>
      </c>
      <c r="J41" s="358" t="str">
        <f>IF($A$41=0,"",IF($C$41=0,AA41&amp;$R$21,AA41&amp;$S$21&amp;$C$41))</f>
        <v/>
      </c>
      <c r="K41" s="333" t="str">
        <f>AB41</f>
        <v/>
      </c>
      <c r="L41" s="333" t="str">
        <f>IF($A$41=0,"",IF($C$41=0,AF41&amp;$R$21,AF41&amp;$S$21&amp;$C$41))</f>
        <v/>
      </c>
      <c r="M41" s="357" t="str">
        <f>AD41</f>
        <v/>
      </c>
      <c r="N41" s="361" t="str">
        <f>IF($A$41=0,"",IF($C$41=0,AG41&amp;$R$21,AG41&amp;$S$21&amp;$C$41))</f>
        <v/>
      </c>
      <c r="O41"/>
      <c r="P41"/>
      <c r="Q41"/>
      <c r="R41" s="40">
        <f>A41</f>
        <v>0</v>
      </c>
      <c r="S41" s="12" t="str">
        <f>IF(A41&gt;0,LOOKUP(A41,Distance!A2:A15,Distance!D2:D15),"")</f>
        <v/>
      </c>
      <c r="T41" s="75" t="str">
        <f>IF(A41&gt;0,LOOKUP(A41,Distance!$A$2:$A$15,Distance!$J$2:$J$15),"")</f>
        <v/>
      </c>
      <c r="U41" s="60" t="str">
        <f>IF(A41&gt;0,LOOKUP(A41,Distance!A2:A15,Distance!E2:E15),"")</f>
        <v/>
      </c>
      <c r="V41" s="61" t="str">
        <f>IF(A41&gt;0,Y41+1,"")</f>
        <v/>
      </c>
      <c r="W41" s="62" t="str">
        <f>IF(A41&gt;0,LOOKUP(A41,Distance!A2:A15,Distance!F2:F15),"")</f>
        <v/>
      </c>
      <c r="X41" s="62"/>
      <c r="Y41" s="63" t="str">
        <f>IF(A41&gt;0,LOOKUP(A41,Distance!A2:A15,Distance!C2:C15),"")</f>
        <v/>
      </c>
      <c r="Z41" s="64" t="str">
        <f>IF(A41&gt;0,LOOKUP(A41,Distance!A2:A15,Distance!G2:G15),"")</f>
        <v/>
      </c>
      <c r="AA41" s="61" t="str">
        <f>Y41</f>
        <v/>
      </c>
      <c r="AB41" s="63" t="str">
        <f>IF(A41&gt;0,LOOKUP(A41,Distance!A2:A15,Distance!H2:H15),"")</f>
        <v/>
      </c>
      <c r="AC41" s="61" t="str">
        <f>IF(A41&gt;0,Y41*0.75,"")</f>
        <v/>
      </c>
      <c r="AD41" s="60" t="str">
        <f>IF(A41&gt;0,LOOKUP(A41,Distance!A2:A15,Distance!I2:I15),"")</f>
        <v/>
      </c>
      <c r="AE41" s="65" t="str">
        <f>IF(A41&gt;0,Y41*0.5,"")</f>
        <v/>
      </c>
      <c r="AF41" t="e">
        <f>FIXED(AC41,0)</f>
        <v>#VALUE!</v>
      </c>
      <c r="AG41" t="e">
        <f>FIXED(AE41,0)</f>
        <v>#VALUE!</v>
      </c>
      <c r="AI41"/>
      <c r="AJ41"/>
      <c r="AK41"/>
      <c r="AL41"/>
      <c r="AM41"/>
      <c r="AN41"/>
      <c r="AO41"/>
      <c r="AP41"/>
      <c r="AQ41"/>
    </row>
    <row r="42" spans="1:43">
      <c r="A42" s="301"/>
      <c r="B42" s="286" t="str">
        <f>S42</f>
        <v/>
      </c>
      <c r="C42" s="293" t="str">
        <f>IF(A42=0,"",IF(T42="Yes",F8,0))</f>
        <v/>
      </c>
      <c r="D42" s="362" t="str">
        <f>U42</f>
        <v/>
      </c>
      <c r="E42" s="354" t="str">
        <f>IF($A$42=0,"",IF($C$42=0,V42&amp;$R$21,V42&amp;$S$21&amp;$C$42))</f>
        <v/>
      </c>
      <c r="F42" s="293" t="str">
        <f>W42</f>
        <v/>
      </c>
      <c r="G42" s="293"/>
      <c r="H42" s="293" t="str">
        <f>IF($A$42=0,"",IF($C$42=0,Y42&amp;$R$21,Y42&amp;$S$21&amp;$C$42))</f>
        <v/>
      </c>
      <c r="I42" s="362" t="str">
        <f>Z42</f>
        <v/>
      </c>
      <c r="J42" s="354" t="str">
        <f>IF($A$42=0,"",IF($C$42=0,AA42&amp;$R$21,AA42&amp;$S$21&amp;$C$42))</f>
        <v/>
      </c>
      <c r="K42" s="293" t="str">
        <f>AB42</f>
        <v/>
      </c>
      <c r="L42" s="293" t="str">
        <f>IF($A$42=0,"",IF($C$42=0,AF42&amp;$R$21,AF42&amp;$S$21&amp;$C$42))</f>
        <v/>
      </c>
      <c r="M42" s="362" t="str">
        <f>AD42</f>
        <v/>
      </c>
      <c r="N42" s="356" t="str">
        <f>IF($A$42=0,"",IF($C$42=0,AG42&amp;$R$21,AG2&amp;$S$21&amp;$C$42))</f>
        <v/>
      </c>
      <c r="O42"/>
      <c r="P42"/>
      <c r="Q42"/>
      <c r="R42" s="25">
        <f>A42</f>
        <v>0</v>
      </c>
      <c r="S42" s="11" t="str">
        <f>IF(A42&gt;0,LOOKUP(A42,Distance!A2:A15,Distance!D2:D15),"")</f>
        <v/>
      </c>
      <c r="T42" s="77" t="str">
        <f>IF(A42&gt;0,LOOKUP(A42,Distance!$A$2:$A$15,Distance!$J$2:$J$15),"")</f>
        <v/>
      </c>
      <c r="U42" s="45" t="str">
        <f>IF(A42&gt;0,LOOKUP(A42,Distance!A2:A15,Distance!E2:E15),"")</f>
        <v/>
      </c>
      <c r="V42" s="56" t="str">
        <f>IF(A42&gt;0,Y42+1,"")</f>
        <v/>
      </c>
      <c r="W42" s="16" t="str">
        <f>IF(A42&gt;0,LOOKUP(A42,Distance!A2:A15,Distance!F2:F15),"")</f>
        <v/>
      </c>
      <c r="X42" s="16"/>
      <c r="Y42" s="16" t="str">
        <f>IF(A42&gt;0,LOOKUP(A42,Distance!A2:A15,Distance!C2:C15),"")</f>
        <v/>
      </c>
      <c r="Z42" s="45" t="str">
        <f>IF(A42&gt;0,LOOKUP(A42,Distance!A2:A15,Distance!G2:G15),"")</f>
        <v/>
      </c>
      <c r="AA42" s="56" t="str">
        <f>Y42</f>
        <v/>
      </c>
      <c r="AB42" s="16" t="str">
        <f>IF(A42&gt;0,LOOKUP(A42,Distance!A2:A15,Distance!H2:H15),"")</f>
        <v/>
      </c>
      <c r="AC42" s="16" t="str">
        <f>IF(A42&gt;0,Y42*0.75,"")</f>
        <v/>
      </c>
      <c r="AD42" s="45" t="str">
        <f>IF(A42&gt;0,LOOKUP(A42,Distance!A2:A15,Distance!I2:I15),"")</f>
        <v/>
      </c>
      <c r="AE42" s="59" t="str">
        <f>IF(A42&gt;0,Y42*0.5,"")</f>
        <v/>
      </c>
      <c r="AF42" t="e">
        <f>FIXED(AC42,0)</f>
        <v>#VALUE!</v>
      </c>
      <c r="AG42" t="e">
        <f>FIXED(AE42,0)</f>
        <v>#VALUE!</v>
      </c>
      <c r="AI42"/>
      <c r="AJ42"/>
      <c r="AK42"/>
      <c r="AL42"/>
      <c r="AM42"/>
      <c r="AN42"/>
      <c r="AO42"/>
      <c r="AP42"/>
      <c r="AQ42"/>
    </row>
    <row r="43" spans="1:43" ht="14" thickBot="1">
      <c r="A43" s="311"/>
      <c r="B43" s="345" t="str">
        <f>S43</f>
        <v/>
      </c>
      <c r="C43" s="315" t="str">
        <f>IF(A43=0,"",IF(T43="Yes",F9,0))</f>
        <v/>
      </c>
      <c r="D43" s="363" t="str">
        <f>U43</f>
        <v/>
      </c>
      <c r="E43" s="364" t="str">
        <f>IF($A$43=0,"",IF($C$43=0,V43&amp;$R$21,V43&amp;$S$21&amp;$C$43))</f>
        <v/>
      </c>
      <c r="F43" s="315" t="str">
        <f>W43</f>
        <v/>
      </c>
      <c r="G43" s="315"/>
      <c r="H43" s="315" t="str">
        <f>IF($A$43=0,"",IF($C$43=0,Y43&amp;$R$21,Y43&amp;$S$21&amp;$C$43))</f>
        <v/>
      </c>
      <c r="I43" s="363" t="str">
        <f>Z43</f>
        <v/>
      </c>
      <c r="J43" s="364" t="str">
        <f>IF($A$43=0,"",IF($C$43=0,AA43&amp;$R$21,AA43&amp;$S$21&amp;$C$43))</f>
        <v/>
      </c>
      <c r="K43" s="315" t="str">
        <f>AB43</f>
        <v/>
      </c>
      <c r="L43" s="315" t="str">
        <f>IF($A$43=0,"",IF($C$43=0,AC43&amp;$R$21,AC43&amp;$S$21&amp;$C$43))</f>
        <v/>
      </c>
      <c r="M43" s="363" t="str">
        <f>AD43</f>
        <v/>
      </c>
      <c r="N43" s="365" t="str">
        <f>IF($A$43=0,"",IF($C$43=0,AG43&amp;$R$21,AG43&amp;$S$21&amp;$C$43))</f>
        <v/>
      </c>
      <c r="O43"/>
      <c r="P43"/>
      <c r="Q43"/>
      <c r="R43" s="27">
        <f>A43</f>
        <v>0</v>
      </c>
      <c r="S43" s="28" t="str">
        <f>IF(A43&gt;0,LOOKUP(A43,Distance!A2:A15,Distance!D2:D15),"")</f>
        <v/>
      </c>
      <c r="T43" s="78" t="str">
        <f>IF(A43&gt;0,LOOKUP(A43,Distance!$A$2:$A$15,Distance!$J$2:$J$15),"")</f>
        <v/>
      </c>
      <c r="U43" s="66" t="str">
        <f>IF(A43&gt;0,LOOKUP(A43,Distance!A2:A15,Distance!E2:E15),"")</f>
        <v/>
      </c>
      <c r="V43" s="67" t="str">
        <f>IF(A43&gt;0,Y43+1,"")</f>
        <v/>
      </c>
      <c r="W43" s="68" t="str">
        <f>IF(A43&gt;0,LOOKUP(A43,Distance!A2:A15,Distance!F2:F15),"")</f>
        <v/>
      </c>
      <c r="X43" s="68"/>
      <c r="Y43" s="68" t="str">
        <f>IF(A43&gt;0,LOOKUP(A43,Distance!A2:A15,Distance!C2:C15),"")</f>
        <v/>
      </c>
      <c r="Z43" s="66" t="str">
        <f>IF(A43&gt;0,LOOKUP(A43,Distance!A2:A15,Distance!G2:G15),"")</f>
        <v/>
      </c>
      <c r="AA43" s="67" t="str">
        <f>Y43</f>
        <v/>
      </c>
      <c r="AB43" s="68" t="str">
        <f>IF(A43&gt;0,LOOKUP(A43,Distance!A2:A15,Distance!H2:H15),"")</f>
        <v/>
      </c>
      <c r="AC43" s="68" t="str">
        <f>IF(A43&gt;0,Y43*0.75,"")</f>
        <v/>
      </c>
      <c r="AD43" s="66" t="str">
        <f>IF(A43&gt;0,LOOKUP(A43,Distance!A2:A15,Distance!I2:I15),"")</f>
        <v/>
      </c>
      <c r="AE43" s="69" t="str">
        <f>IF(A43&gt;0,Y43*0.5,"")</f>
        <v/>
      </c>
      <c r="AF43" t="e">
        <f>FIXED(AC43,0)</f>
        <v>#VALUE!</v>
      </c>
      <c r="AG43" t="e">
        <f>FIXED(AE43,0)</f>
        <v>#VALUE!</v>
      </c>
      <c r="AI43"/>
      <c r="AJ43"/>
      <c r="AK43"/>
      <c r="AL43"/>
      <c r="AM43"/>
      <c r="AN43"/>
      <c r="AO43"/>
      <c r="AP43"/>
      <c r="AQ43"/>
    </row>
    <row r="44" spans="1:43" ht="14" thickBot="1">
      <c r="A44" s="301"/>
      <c r="B44" s="284"/>
      <c r="C44" s="284"/>
      <c r="D44" s="346"/>
      <c r="E44" s="346"/>
      <c r="F44" s="346"/>
      <c r="G44" s="346"/>
      <c r="H44" s="346"/>
      <c r="I44" s="346"/>
      <c r="J44" s="346"/>
      <c r="K44" s="293"/>
      <c r="L44" s="346"/>
      <c r="M44" s="346"/>
      <c r="N44" s="366"/>
      <c r="O44"/>
      <c r="P44"/>
      <c r="Q44"/>
      <c r="R44" s="25"/>
      <c r="S44" s="10"/>
      <c r="T44" s="10"/>
      <c r="U44" s="70"/>
      <c r="V44" s="70"/>
      <c r="W44" s="70"/>
      <c r="X44" s="70"/>
      <c r="Y44" s="70"/>
      <c r="Z44" s="70"/>
      <c r="AA44" s="70"/>
      <c r="AB44" s="16"/>
      <c r="AC44" s="70"/>
      <c r="AD44" s="70"/>
      <c r="AE44" s="71"/>
      <c r="AF44"/>
      <c r="AG44"/>
      <c r="AI44"/>
      <c r="AJ44"/>
      <c r="AK44"/>
      <c r="AL44"/>
      <c r="AM44"/>
      <c r="AN44"/>
      <c r="AO44"/>
      <c r="AP44"/>
      <c r="AQ44"/>
    </row>
    <row r="45" spans="1:43">
      <c r="A45" s="278" t="s">
        <v>1742</v>
      </c>
      <c r="B45" s="295" t="s">
        <v>1911</v>
      </c>
      <c r="C45" s="295" t="s">
        <v>1285</v>
      </c>
      <c r="D45" s="367" t="s">
        <v>1114</v>
      </c>
      <c r="E45" s="368" t="s">
        <v>1303</v>
      </c>
      <c r="F45" s="347" t="s">
        <v>1106</v>
      </c>
      <c r="G45" s="347"/>
      <c r="H45" s="347" t="s">
        <v>1303</v>
      </c>
      <c r="I45" s="367" t="s">
        <v>1348</v>
      </c>
      <c r="J45" s="368" t="s">
        <v>1303</v>
      </c>
      <c r="K45" s="347" t="s">
        <v>939</v>
      </c>
      <c r="L45" s="347" t="s">
        <v>1303</v>
      </c>
      <c r="M45" s="367" t="s">
        <v>1352</v>
      </c>
      <c r="N45" s="369" t="s">
        <v>1303</v>
      </c>
      <c r="O45"/>
      <c r="P45"/>
      <c r="Q45"/>
      <c r="R45" s="30" t="s">
        <v>1742</v>
      </c>
      <c r="S45" s="119" t="s">
        <v>1911</v>
      </c>
      <c r="T45" s="119" t="s">
        <v>1285</v>
      </c>
      <c r="U45" s="123" t="s">
        <v>1114</v>
      </c>
      <c r="V45" s="124" t="s">
        <v>1303</v>
      </c>
      <c r="W45" s="125" t="s">
        <v>1106</v>
      </c>
      <c r="X45" s="125"/>
      <c r="Y45" s="125" t="s">
        <v>1303</v>
      </c>
      <c r="Z45" s="123" t="s">
        <v>1348</v>
      </c>
      <c r="AA45" s="124" t="s">
        <v>1303</v>
      </c>
      <c r="AB45" s="125" t="s">
        <v>939</v>
      </c>
      <c r="AC45" s="125" t="s">
        <v>1303</v>
      </c>
      <c r="AD45" s="123" t="s">
        <v>1352</v>
      </c>
      <c r="AE45" s="126" t="s">
        <v>1303</v>
      </c>
      <c r="AF45"/>
      <c r="AG45"/>
      <c r="AI45"/>
      <c r="AJ45"/>
      <c r="AK45"/>
      <c r="AL45"/>
      <c r="AM45"/>
      <c r="AN45"/>
      <c r="AO45"/>
      <c r="AP45"/>
      <c r="AQ45"/>
    </row>
    <row r="46" spans="1:43">
      <c r="A46" s="301" t="s">
        <v>1969</v>
      </c>
      <c r="B46" s="286">
        <f t="shared" ref="B46:B51" si="8">S46</f>
        <v>8</v>
      </c>
      <c r="C46" s="286" t="str">
        <f t="shared" ref="C46:M51" si="9">T46</f>
        <v>Full Auto 50</v>
      </c>
      <c r="D46" s="353" t="str">
        <f t="shared" si="9"/>
        <v>0-4</v>
      </c>
      <c r="E46" s="354" t="str">
        <f t="shared" ref="E46:E51" si="10">IF(A46=0,"",V46&amp;$R$21)</f>
        <v>4D6</v>
      </c>
      <c r="F46" s="355" t="str">
        <f t="shared" si="9"/>
        <v>5-10</v>
      </c>
      <c r="G46" s="355"/>
      <c r="H46" s="293" t="str">
        <f t="shared" ref="H46:H51" si="11">IF(A46=0,"",Y46&amp;$R$21)</f>
        <v>3D6</v>
      </c>
      <c r="I46" s="353" t="str">
        <f t="shared" si="9"/>
        <v>11-40</v>
      </c>
      <c r="J46" s="354" t="str">
        <f t="shared" ref="J46:J51" si="12">IF(A46=0,"",AA46&amp;$R$21)</f>
        <v>3D6</v>
      </c>
      <c r="K46" s="355" t="str">
        <f t="shared" ref="K46:K51" si="13">AB46</f>
        <v>41-80</v>
      </c>
      <c r="L46" s="293" t="str">
        <f t="shared" ref="L46:L51" si="14">IF(A46=0,"",AF46&amp;$R$21)</f>
        <v>2D6</v>
      </c>
      <c r="M46" s="353" t="str">
        <f t="shared" si="9"/>
        <v>81-150</v>
      </c>
      <c r="N46" s="356" t="str">
        <f t="shared" ref="N46:N51" si="15">IF(A46=0,"",AG46&amp;$R$21)</f>
        <v>2D6</v>
      </c>
      <c r="O46"/>
      <c r="P46"/>
      <c r="Q46"/>
      <c r="R46" s="32" t="str">
        <f t="shared" ref="R46:R51" si="16">A46</f>
        <v>SMG Uzi</v>
      </c>
      <c r="S46" s="13">
        <f>IF(A46&gt;0,LOOKUP(A46,Firearms!A2:Firearms!A254,Firearms!C2:C254),"")</f>
        <v>8</v>
      </c>
      <c r="T46" s="13" t="str">
        <f>IF(A46&gt;0,LOOKUP(A46,Firearms!A2:Firearms!A254,Firearms!D2:D254),"")</f>
        <v>Full Auto 50</v>
      </c>
      <c r="U46" s="58" t="str">
        <f>IF(A46&gt;0,LOOKUP(A46,Firearms!A2:Firearms!A254,Firearms!E2:E254),"")</f>
        <v>0-4</v>
      </c>
      <c r="V46" s="56">
        <f t="shared" ref="V46:V51" si="17">IF(A46&gt;0,Y46+1,"")</f>
        <v>4</v>
      </c>
      <c r="W46" s="57" t="str">
        <f>IF(A46&gt;0,LOOKUP(A46,Firearms!A2:Firearms!A254,Firearms!F2:F254),"")</f>
        <v>5-10</v>
      </c>
      <c r="X46" s="57"/>
      <c r="Y46" s="16">
        <f>IF(A46&gt;0,LOOKUP(A46,Firearms!A2:Firearms!A254,Firearms!B2:B254),"")</f>
        <v>3</v>
      </c>
      <c r="Z46" s="58" t="str">
        <f>IF(A46&gt;0,LOOKUP(A46,Firearms!A2:Firearms!A254,Firearms!G2:G254),"")</f>
        <v>11-40</v>
      </c>
      <c r="AA46" s="56">
        <f t="shared" ref="AA46:AA51" si="18">Y46</f>
        <v>3</v>
      </c>
      <c r="AB46" s="57" t="str">
        <f>IF(A46&gt;0,LOOKUP(A46,Firearms!A2:Firearms!A254,Firearms!H2:H254),"")</f>
        <v>41-80</v>
      </c>
      <c r="AC46" s="16">
        <f t="shared" ref="AC46:AC51" si="19">IF(A46&gt;0,Y46*0.75,"")</f>
        <v>2.25</v>
      </c>
      <c r="AD46" s="58" t="str">
        <f>IF(A46&gt;0,LOOKUP(A46,Firearms!A2:Firearms!A254,Firearms!I2:I254),"")</f>
        <v>81-150</v>
      </c>
      <c r="AE46" s="59">
        <f t="shared" ref="AE46:AE51" si="20">IF(A46&gt;0,Y46*0.5,"")</f>
        <v>1.5</v>
      </c>
      <c r="AF46" t="str">
        <f t="shared" ref="AF46:AF51" si="21">FIXED(AC46,0)</f>
        <v>2</v>
      </c>
      <c r="AG46" t="str">
        <f t="shared" ref="AG46:AG51" si="22">FIXED(AE46,0)</f>
        <v>2</v>
      </c>
      <c r="AI46"/>
      <c r="AJ46"/>
      <c r="AK46"/>
      <c r="AL46"/>
      <c r="AM46"/>
      <c r="AN46"/>
      <c r="AO46"/>
      <c r="AP46"/>
      <c r="AQ46"/>
    </row>
    <row r="47" spans="1:43">
      <c r="A47" s="385" t="s">
        <v>1970</v>
      </c>
      <c r="B47" s="343">
        <f t="shared" si="8"/>
        <v>11</v>
      </c>
      <c r="C47" s="343" t="str">
        <f t="shared" si="9"/>
        <v>Auto 8</v>
      </c>
      <c r="D47" s="360" t="str">
        <f t="shared" si="9"/>
        <v>0-2</v>
      </c>
      <c r="E47" s="358" t="str">
        <f t="shared" si="10"/>
        <v>5D6</v>
      </c>
      <c r="F47" s="359" t="str">
        <f t="shared" si="9"/>
        <v>3-5</v>
      </c>
      <c r="G47" s="359"/>
      <c r="H47" s="333" t="str">
        <f t="shared" si="11"/>
        <v>4D6</v>
      </c>
      <c r="I47" s="360" t="str">
        <f t="shared" si="9"/>
        <v>6-20</v>
      </c>
      <c r="J47" s="358" t="str">
        <f t="shared" si="12"/>
        <v>4D6</v>
      </c>
      <c r="K47" s="359" t="str">
        <f t="shared" si="13"/>
        <v>21-40</v>
      </c>
      <c r="L47" s="333" t="str">
        <f t="shared" si="14"/>
        <v>3D6</v>
      </c>
      <c r="M47" s="360" t="str">
        <f t="shared" si="9"/>
        <v>41-60</v>
      </c>
      <c r="N47" s="361" t="str">
        <f t="shared" si="15"/>
        <v>2D6</v>
      </c>
      <c r="O47"/>
      <c r="P47"/>
      <c r="Q47"/>
      <c r="R47" s="42" t="str">
        <f t="shared" si="16"/>
        <v>Pistol .41 Magnum</v>
      </c>
      <c r="S47" s="14">
        <f>IF(A47&gt;0,LOOKUP(A47,Firearms!A2:A254,Firearms!C2:C254),"")</f>
        <v>11</v>
      </c>
      <c r="T47" s="14" t="str">
        <f>IF(A47&gt;0,LOOKUP(A47,Firearms!A2:Firearms!A254,Firearms!D2:D254),"")</f>
        <v>Auto 8</v>
      </c>
      <c r="U47" s="64" t="str">
        <f>IF(A47&gt;0,LOOKUP(A47,Firearms!A2:Firearms!A254,Firearms!E2:E254),"")</f>
        <v>0-2</v>
      </c>
      <c r="V47" s="61">
        <f t="shared" si="17"/>
        <v>5</v>
      </c>
      <c r="W47" s="62" t="str">
        <f>IF(A47&gt;0,LOOKUP(A47,Firearms!A2:Firearms!A254,Firearms!F2:F254),"")</f>
        <v>3-5</v>
      </c>
      <c r="X47" s="62"/>
      <c r="Y47" s="63">
        <f>IF(A47&gt;0,LOOKUP(A47,Firearms!A2:Firearms!A254,Firearms!B2:B254),"")</f>
        <v>4</v>
      </c>
      <c r="Z47" s="64" t="str">
        <f>IF(A47&gt;0,LOOKUP(A47,Firearms!A2:Firearms!A254,Firearms!G2:G254),"")</f>
        <v>6-20</v>
      </c>
      <c r="AA47" s="61">
        <f t="shared" si="18"/>
        <v>4</v>
      </c>
      <c r="AB47" s="62" t="str">
        <f>IF(A47&gt;0,LOOKUP(A47,Firearms!A2:Firearms!A254,Firearms!H2:H254),"")</f>
        <v>21-40</v>
      </c>
      <c r="AC47" s="63">
        <f t="shared" si="19"/>
        <v>3</v>
      </c>
      <c r="AD47" s="64" t="str">
        <f>IF(A47&gt;0,LOOKUP(A47,Firearms!A2:Firearms!A254,Firearms!I2:I254),"")</f>
        <v>41-60</v>
      </c>
      <c r="AE47" s="65">
        <f t="shared" si="20"/>
        <v>2</v>
      </c>
      <c r="AF47" t="str">
        <f t="shared" si="21"/>
        <v>3</v>
      </c>
      <c r="AG47" t="str">
        <f t="shared" si="22"/>
        <v>2</v>
      </c>
      <c r="AI47"/>
      <c r="AJ47"/>
      <c r="AK47"/>
      <c r="AL47"/>
      <c r="AM47"/>
      <c r="AN47"/>
      <c r="AO47"/>
      <c r="AP47"/>
      <c r="AQ47"/>
    </row>
    <row r="48" spans="1:43">
      <c r="A48" s="301" t="s">
        <v>1971</v>
      </c>
      <c r="B48" s="286">
        <f t="shared" si="8"/>
        <v>2</v>
      </c>
      <c r="C48" s="286" t="str">
        <f t="shared" si="9"/>
        <v>Auto 10</v>
      </c>
      <c r="D48" s="362" t="str">
        <f t="shared" si="9"/>
        <v>0-20</v>
      </c>
      <c r="E48" s="354" t="str">
        <f t="shared" si="10"/>
        <v>11D6</v>
      </c>
      <c r="F48" s="293" t="str">
        <f t="shared" si="9"/>
        <v>21-250</v>
      </c>
      <c r="G48" s="293"/>
      <c r="H48" s="293" t="str">
        <f t="shared" si="11"/>
        <v>10D6</v>
      </c>
      <c r="I48" s="362" t="str">
        <f t="shared" si="9"/>
        <v>251-500</v>
      </c>
      <c r="J48" s="354" t="str">
        <f t="shared" si="12"/>
        <v>10D6</v>
      </c>
      <c r="K48" s="293" t="str">
        <f t="shared" si="13"/>
        <v>501-1000</v>
      </c>
      <c r="L48" s="293" t="str">
        <f t="shared" si="14"/>
        <v>8D6</v>
      </c>
      <c r="M48" s="362" t="str">
        <f t="shared" si="9"/>
        <v>1001-2000</v>
      </c>
      <c r="N48" s="356" t="str">
        <f t="shared" si="15"/>
        <v>5D6</v>
      </c>
      <c r="O48"/>
      <c r="P48"/>
      <c r="Q48"/>
      <c r="R48" s="32" t="str">
        <f t="shared" si="16"/>
        <v>Rifle .50 Barrett Sniper</v>
      </c>
      <c r="S48" s="13">
        <f>IF(A48&gt;0,LOOKUP(A48,Firearms!A2:Firearms!A254,Firearms!C2:C254),"")</f>
        <v>2</v>
      </c>
      <c r="T48" s="13" t="str">
        <f>IF(A48&gt;0,LOOKUP(A48,Firearms!A2:Firearms!A254,Firearms!D2:D254),"")</f>
        <v>Auto 10</v>
      </c>
      <c r="U48" s="45" t="str">
        <f>IF(A48&gt;0,LOOKUP(A48,Firearms!A2:Firearms!A254,Firearms!E2:E254),"")</f>
        <v>0-20</v>
      </c>
      <c r="V48" s="56">
        <f t="shared" si="17"/>
        <v>11</v>
      </c>
      <c r="W48" s="16" t="str">
        <f>IF(A48&gt;0,LOOKUP(A48,Firearms!A2:Firearms!A254,Firearms!F2:F254),"")</f>
        <v>21-250</v>
      </c>
      <c r="X48" s="16"/>
      <c r="Y48" s="16">
        <f>IF(A48&gt;0,LOOKUP(A48,Firearms!A2:Firearms!A254,Firearms!B2:B254),"")</f>
        <v>10</v>
      </c>
      <c r="Z48" s="45" t="str">
        <f>IF(A48&gt;0,LOOKUP(A48,Firearms!A2:Firearms!A254,Firearms!G2:G254),"")</f>
        <v>251-500</v>
      </c>
      <c r="AA48" s="56">
        <f t="shared" si="18"/>
        <v>10</v>
      </c>
      <c r="AB48" s="16" t="str">
        <f>IF(A48&gt;0,LOOKUP(A48,Firearms!A2:Firearms!A254,Firearms!H2:H254),"")</f>
        <v>501-1000</v>
      </c>
      <c r="AC48" s="16">
        <f t="shared" si="19"/>
        <v>7.5</v>
      </c>
      <c r="AD48" s="45" t="str">
        <f>IF(A48&gt;0,LOOKUP(A48,Firearms!A2:Firearms!A254,Firearms!I2:I254),"")</f>
        <v>1001-2000</v>
      </c>
      <c r="AE48" s="59">
        <f t="shared" si="20"/>
        <v>5</v>
      </c>
      <c r="AF48" t="str">
        <f t="shared" si="21"/>
        <v>8</v>
      </c>
      <c r="AG48" t="str">
        <f t="shared" si="22"/>
        <v>5</v>
      </c>
      <c r="AI48"/>
      <c r="AJ48"/>
      <c r="AK48"/>
      <c r="AL48"/>
      <c r="AM48"/>
      <c r="AN48"/>
      <c r="AO48"/>
      <c r="AP48"/>
      <c r="AQ48"/>
    </row>
    <row r="49" spans="1:43">
      <c r="A49" s="385"/>
      <c r="B49" s="343" t="str">
        <f t="shared" si="8"/>
        <v/>
      </c>
      <c r="C49" s="343" t="str">
        <f t="shared" si="9"/>
        <v/>
      </c>
      <c r="D49" s="357" t="str">
        <f t="shared" si="9"/>
        <v/>
      </c>
      <c r="E49" s="358" t="str">
        <f t="shared" si="10"/>
        <v/>
      </c>
      <c r="F49" s="333" t="str">
        <f t="shared" si="9"/>
        <v/>
      </c>
      <c r="G49" s="333"/>
      <c r="H49" s="333" t="str">
        <f t="shared" si="11"/>
        <v/>
      </c>
      <c r="I49" s="357" t="str">
        <f t="shared" si="9"/>
        <v/>
      </c>
      <c r="J49" s="358" t="str">
        <f t="shared" si="12"/>
        <v/>
      </c>
      <c r="K49" s="333" t="str">
        <f t="shared" si="13"/>
        <v/>
      </c>
      <c r="L49" s="333" t="str">
        <f t="shared" si="14"/>
        <v/>
      </c>
      <c r="M49" s="357" t="str">
        <f t="shared" si="9"/>
        <v/>
      </c>
      <c r="N49" s="361" t="str">
        <f t="shared" si="15"/>
        <v/>
      </c>
      <c r="O49"/>
      <c r="P49"/>
      <c r="Q49"/>
      <c r="R49" s="42">
        <f t="shared" si="16"/>
        <v>0</v>
      </c>
      <c r="S49" s="14" t="str">
        <f>IF(A49&gt;0,LOOKUP(A49,Firearms!A2:Firearms!A254,Firearms!C2:C254),"")</f>
        <v/>
      </c>
      <c r="T49" s="14" t="str">
        <f>IF(A49&gt;0,LOOKUP(A49,Firearms!A2:Firearms!A254,Firearms!D2:D254),"")</f>
        <v/>
      </c>
      <c r="U49" s="60" t="str">
        <f>IF(A49&gt;0,LOOKUP(A49,Firearms!A2:Firearms!A254,Firearms!E2:E254),"")</f>
        <v/>
      </c>
      <c r="V49" s="61" t="str">
        <f t="shared" si="17"/>
        <v/>
      </c>
      <c r="W49" s="63" t="str">
        <f>IF(A49&gt;0,LOOKUP(A49,Firearms!A2:Firearms!A254,Firearms!F2:F254),"")</f>
        <v/>
      </c>
      <c r="X49" s="63"/>
      <c r="Y49" s="63" t="str">
        <f>IF(A49&gt;0,LOOKUP(A49,Firearms!A2:Firearms!A254,Firearms!B2:B254),"")</f>
        <v/>
      </c>
      <c r="Z49" s="60" t="str">
        <f>IF(A49&gt;0,LOOKUP(A49,Firearms!A2:Firearms!A254,Firearms!G2:G254),"")</f>
        <v/>
      </c>
      <c r="AA49" s="61" t="str">
        <f t="shared" si="18"/>
        <v/>
      </c>
      <c r="AB49" s="63" t="str">
        <f>IF(A49&gt;0,LOOKUP(A49,Firearms!A2:Firearms!A254,Firearms!H2:H254),"")</f>
        <v/>
      </c>
      <c r="AC49" s="63" t="str">
        <f t="shared" si="19"/>
        <v/>
      </c>
      <c r="AD49" s="60" t="str">
        <f>IF(A49&gt;0,LOOKUP(A49,Firearms!A2:Firearms!A254,Firearms!I2:I254),"")</f>
        <v/>
      </c>
      <c r="AE49" s="65" t="str">
        <f t="shared" si="20"/>
        <v/>
      </c>
      <c r="AF49" t="e">
        <f t="shared" si="21"/>
        <v>#VALUE!</v>
      </c>
      <c r="AG49" t="e">
        <f t="shared" si="22"/>
        <v>#VALUE!</v>
      </c>
      <c r="AI49"/>
      <c r="AJ49"/>
      <c r="AK49"/>
      <c r="AL49"/>
      <c r="AM49"/>
      <c r="AN49"/>
      <c r="AO49"/>
      <c r="AP49"/>
      <c r="AQ49"/>
    </row>
    <row r="50" spans="1:43">
      <c r="A50" s="301"/>
      <c r="B50" s="286" t="str">
        <f t="shared" si="8"/>
        <v/>
      </c>
      <c r="C50" s="286" t="str">
        <f t="shared" si="9"/>
        <v/>
      </c>
      <c r="D50" s="362" t="str">
        <f t="shared" si="9"/>
        <v/>
      </c>
      <c r="E50" s="354" t="str">
        <f t="shared" si="10"/>
        <v/>
      </c>
      <c r="F50" s="293" t="str">
        <f t="shared" si="9"/>
        <v/>
      </c>
      <c r="G50" s="293"/>
      <c r="H50" s="293" t="str">
        <f t="shared" si="11"/>
        <v/>
      </c>
      <c r="I50" s="362" t="str">
        <f t="shared" si="9"/>
        <v/>
      </c>
      <c r="J50" s="354" t="str">
        <f t="shared" si="12"/>
        <v/>
      </c>
      <c r="K50" s="293" t="str">
        <f t="shared" si="13"/>
        <v/>
      </c>
      <c r="L50" s="293" t="str">
        <f t="shared" si="14"/>
        <v/>
      </c>
      <c r="M50" s="362" t="str">
        <f t="shared" si="9"/>
        <v/>
      </c>
      <c r="N50" s="356" t="str">
        <f t="shared" si="15"/>
        <v/>
      </c>
      <c r="O50"/>
      <c r="P50"/>
      <c r="Q50"/>
      <c r="R50" s="32">
        <f t="shared" si="16"/>
        <v>0</v>
      </c>
      <c r="S50" s="13" t="str">
        <f>IF(A50&gt;0,LOOKUP(A50,Firearms!A2:Firearms!A254,Firearms!C2:C254),"")</f>
        <v/>
      </c>
      <c r="T50" s="13" t="str">
        <f>IF(A50&gt;0,LOOKUP(A50,Firearms!A2:Firearms!A254,Firearms!D2:D254),"")</f>
        <v/>
      </c>
      <c r="U50" s="45" t="str">
        <f>IF(A50&gt;0,LOOKUP(A50,Firearms!A2:Firearms!A254,Firearms!E2:E254),"")</f>
        <v/>
      </c>
      <c r="V50" s="56" t="str">
        <f t="shared" si="17"/>
        <v/>
      </c>
      <c r="W50" s="16" t="str">
        <f>IF(A50&gt;0,LOOKUP(A50,Firearms!A2:Firearms!A254,Firearms!F2:F254),"")</f>
        <v/>
      </c>
      <c r="X50" s="16"/>
      <c r="Y50" s="16" t="str">
        <f>IF(A50&gt;0,LOOKUP(A50,Firearms!A2:Firearms!A254,Firearms!B2:B254),"")</f>
        <v/>
      </c>
      <c r="Z50" s="45" t="str">
        <f>IF(A50&gt;0,LOOKUP(A50,Firearms!A2:Firearms!A254,Firearms!G2:G254),"")</f>
        <v/>
      </c>
      <c r="AA50" s="56" t="str">
        <f t="shared" si="18"/>
        <v/>
      </c>
      <c r="AB50" s="16" t="str">
        <f>IF(A50&gt;0,LOOKUP(A50,Firearms!A2:Firearms!A254,Firearms!H2:H254),"")</f>
        <v/>
      </c>
      <c r="AC50" s="16" t="str">
        <f t="shared" si="19"/>
        <v/>
      </c>
      <c r="AD50" s="45" t="str">
        <f>IF(A50&gt;0,LOOKUP(A50,Firearms!A2:Firearms!A254,Firearms!I2:I254),"")</f>
        <v/>
      </c>
      <c r="AE50" s="59" t="str">
        <f t="shared" si="20"/>
        <v/>
      </c>
      <c r="AF50" t="e">
        <f t="shared" si="21"/>
        <v>#VALUE!</v>
      </c>
      <c r="AG50" t="e">
        <f t="shared" si="22"/>
        <v>#VALUE!</v>
      </c>
      <c r="AI50"/>
      <c r="AJ50"/>
      <c r="AK50"/>
      <c r="AL50"/>
      <c r="AM50"/>
      <c r="AN50"/>
      <c r="AO50"/>
      <c r="AP50"/>
      <c r="AQ50"/>
    </row>
    <row r="51" spans="1:43" ht="14" thickBot="1">
      <c r="A51" s="311"/>
      <c r="B51" s="345" t="str">
        <f t="shared" si="8"/>
        <v/>
      </c>
      <c r="C51" s="345" t="str">
        <f t="shared" si="9"/>
        <v/>
      </c>
      <c r="D51" s="363" t="str">
        <f t="shared" si="9"/>
        <v/>
      </c>
      <c r="E51" s="364" t="str">
        <f t="shared" si="10"/>
        <v/>
      </c>
      <c r="F51" s="315" t="str">
        <f t="shared" si="9"/>
        <v/>
      </c>
      <c r="G51" s="315"/>
      <c r="H51" s="315" t="str">
        <f t="shared" si="11"/>
        <v/>
      </c>
      <c r="I51" s="363" t="str">
        <f t="shared" si="9"/>
        <v/>
      </c>
      <c r="J51" s="364" t="str">
        <f t="shared" si="12"/>
        <v/>
      </c>
      <c r="K51" s="315" t="str">
        <f t="shared" si="13"/>
        <v/>
      </c>
      <c r="L51" s="315" t="str">
        <f t="shared" si="14"/>
        <v/>
      </c>
      <c r="M51" s="363" t="str">
        <f t="shared" si="9"/>
        <v/>
      </c>
      <c r="N51" s="365" t="str">
        <f t="shared" si="15"/>
        <v/>
      </c>
      <c r="O51"/>
      <c r="P51"/>
      <c r="Q51"/>
      <c r="R51" s="33">
        <f t="shared" si="16"/>
        <v>0</v>
      </c>
      <c r="S51" s="31" t="str">
        <f>IF(A51&gt;0,LOOKUP(A51,Firearms!A2:Firearms!A254,Firearms!C2:C254),"")</f>
        <v/>
      </c>
      <c r="T51" s="31" t="str">
        <f>IF(A51&gt;0,LOOKUP(A51,Firearms!A2:Firearms!A254,Firearms!D2:D254),"")</f>
        <v/>
      </c>
      <c r="U51" s="66" t="str">
        <f>IF(A51&gt;0,LOOKUP(A51,Firearms!A2:Firearms!A254,Firearms!E2:E254),"")</f>
        <v/>
      </c>
      <c r="V51" s="67" t="str">
        <f t="shared" si="17"/>
        <v/>
      </c>
      <c r="W51" s="68" t="str">
        <f>IF(A51&gt;0,LOOKUP(A51,Firearms!A2:Firearms!A254,Firearms!F2:F254),"")</f>
        <v/>
      </c>
      <c r="X51" s="68"/>
      <c r="Y51" s="68" t="str">
        <f>IF(A51&gt;0,LOOKUP(A51,Firearms!A2:Firearms!A254,Firearms!B2:B254),"")</f>
        <v/>
      </c>
      <c r="Z51" s="66" t="str">
        <f>IF(A51&gt;0,LOOKUP(A51,Firearms!A2:Firearms!A254,Firearms!G2:G254),"")</f>
        <v/>
      </c>
      <c r="AA51" s="67" t="str">
        <f t="shared" si="18"/>
        <v/>
      </c>
      <c r="AB51" s="68" t="str">
        <f>IF(A51&gt;0,LOOKUP(A51,Firearms!A2:Firearms!A254,Firearms!H2:H254),"")</f>
        <v/>
      </c>
      <c r="AC51" s="68" t="str">
        <f t="shared" si="19"/>
        <v/>
      </c>
      <c r="AD51" s="66" t="str">
        <f>IF(A51&gt;0,LOOKUP(A51,Firearms!A2:Firearms!A254,Firearms!I2:I254),"")</f>
        <v/>
      </c>
      <c r="AE51" s="69" t="str">
        <f t="shared" si="20"/>
        <v/>
      </c>
      <c r="AF51" t="e">
        <f t="shared" si="21"/>
        <v>#VALUE!</v>
      </c>
      <c r="AG51" t="e">
        <f t="shared" si="22"/>
        <v>#VALUE!</v>
      </c>
      <c r="AI51"/>
      <c r="AJ51"/>
      <c r="AK51"/>
      <c r="AL51"/>
      <c r="AM51"/>
      <c r="AN51"/>
      <c r="AO51"/>
      <c r="AP51"/>
      <c r="AQ51"/>
    </row>
    <row r="52" spans="1:43" ht="14" thickBot="1">
      <c r="AA52" s="10"/>
      <c r="AI52"/>
      <c r="AJ52"/>
      <c r="AK52"/>
      <c r="AL52"/>
      <c r="AM52"/>
      <c r="AN52"/>
      <c r="AO52"/>
      <c r="AP52"/>
      <c r="AQ52"/>
    </row>
    <row r="53" spans="1:43" ht="14">
      <c r="AA53" s="10"/>
      <c r="AF53" s="211">
        <v>3</v>
      </c>
      <c r="AG53" s="212">
        <v>-8</v>
      </c>
      <c r="AI53"/>
      <c r="AJ53"/>
      <c r="AK53"/>
      <c r="AL53"/>
      <c r="AM53"/>
      <c r="AN53"/>
      <c r="AO53"/>
      <c r="AP53"/>
      <c r="AQ53"/>
    </row>
    <row r="54" spans="1:43" ht="14">
      <c r="AA54" s="10"/>
      <c r="AB54" s="110" t="s">
        <v>476</v>
      </c>
      <c r="AC54" s="173">
        <f t="shared" ref="AC54:AC59" si="23">LOOKUP(B6,$AF$53:$AF$68,$AG$53:$AG$68)</f>
        <v>4</v>
      </c>
      <c r="AF54" s="213">
        <v>4</v>
      </c>
      <c r="AG54" s="214">
        <v>-7</v>
      </c>
      <c r="AI54"/>
      <c r="AJ54"/>
      <c r="AK54"/>
      <c r="AL54"/>
      <c r="AM54"/>
      <c r="AN54"/>
      <c r="AO54"/>
      <c r="AP54"/>
      <c r="AQ54"/>
    </row>
    <row r="55" spans="1:43" ht="14">
      <c r="AB55" s="110" t="s">
        <v>1631</v>
      </c>
      <c r="AC55" s="173">
        <f t="shared" si="23"/>
        <v>4</v>
      </c>
      <c r="AF55" s="213">
        <v>5</v>
      </c>
      <c r="AG55" s="214">
        <v>-6</v>
      </c>
      <c r="AI55"/>
      <c r="AJ55"/>
      <c r="AK55"/>
      <c r="AL55"/>
      <c r="AM55"/>
      <c r="AN55"/>
      <c r="AO55"/>
      <c r="AP55"/>
      <c r="AQ55"/>
    </row>
    <row r="56" spans="1:43" ht="14">
      <c r="AB56" s="110" t="s">
        <v>418</v>
      </c>
      <c r="AC56" s="173">
        <f t="shared" si="23"/>
        <v>7</v>
      </c>
      <c r="AF56" s="213">
        <v>6</v>
      </c>
      <c r="AG56" s="214">
        <v>-5</v>
      </c>
      <c r="AI56"/>
      <c r="AJ56"/>
      <c r="AK56"/>
      <c r="AL56"/>
      <c r="AM56"/>
      <c r="AN56"/>
      <c r="AO56"/>
      <c r="AP56"/>
      <c r="AQ56"/>
    </row>
    <row r="57" spans="1:43" ht="14">
      <c r="AB57" s="110" t="s">
        <v>1922</v>
      </c>
      <c r="AC57" s="173">
        <f t="shared" si="23"/>
        <v>7</v>
      </c>
      <c r="AF57" s="213">
        <v>7</v>
      </c>
      <c r="AG57" s="214">
        <v>-4</v>
      </c>
      <c r="AI57"/>
      <c r="AJ57"/>
      <c r="AK57"/>
      <c r="AL57"/>
      <c r="AM57"/>
      <c r="AN57"/>
      <c r="AO57"/>
      <c r="AP57"/>
      <c r="AQ57"/>
    </row>
    <row r="58" spans="1:43" ht="14">
      <c r="AB58" s="110" t="s">
        <v>1987</v>
      </c>
      <c r="AC58" s="173">
        <f t="shared" si="23"/>
        <v>7</v>
      </c>
      <c r="AF58" s="213">
        <v>8</v>
      </c>
      <c r="AG58" s="214">
        <v>-3</v>
      </c>
      <c r="AI58"/>
      <c r="AJ58"/>
      <c r="AK58"/>
      <c r="AL58"/>
      <c r="AM58"/>
      <c r="AN58"/>
      <c r="AO58"/>
      <c r="AP58"/>
      <c r="AQ58"/>
    </row>
    <row r="59" spans="1:43" ht="14">
      <c r="AB59" s="110" t="s">
        <v>1988</v>
      </c>
      <c r="AC59" s="173">
        <f t="shared" si="23"/>
        <v>7</v>
      </c>
      <c r="AF59" s="213">
        <v>9</v>
      </c>
      <c r="AG59" s="214">
        <v>-2</v>
      </c>
      <c r="AI59"/>
      <c r="AJ59"/>
      <c r="AK59"/>
      <c r="AL59"/>
      <c r="AM59"/>
      <c r="AN59"/>
      <c r="AO59"/>
      <c r="AP59"/>
      <c r="AQ59"/>
    </row>
    <row r="60" spans="1:43" ht="14">
      <c r="AB60" s="110"/>
      <c r="AF60" s="213">
        <v>10</v>
      </c>
      <c r="AG60" s="214">
        <v>-1</v>
      </c>
      <c r="AI60"/>
      <c r="AJ60"/>
      <c r="AK60"/>
      <c r="AL60"/>
      <c r="AM60"/>
      <c r="AN60"/>
      <c r="AO60"/>
      <c r="AP60"/>
      <c r="AQ60"/>
    </row>
    <row r="61" spans="1:43" ht="14">
      <c r="AB61" s="110" t="s">
        <v>1833</v>
      </c>
      <c r="AC61" s="173">
        <f t="shared" ref="AC61:AC66" si="24">LOOKUP(B13,$AF$53:$AF$68,$AG$53:$AG$68)</f>
        <v>4</v>
      </c>
      <c r="AF61" s="213">
        <v>11</v>
      </c>
      <c r="AG61" s="214">
        <v>0</v>
      </c>
      <c r="AI61"/>
      <c r="AJ61"/>
      <c r="AK61"/>
      <c r="AL61"/>
      <c r="AM61"/>
      <c r="AN61"/>
      <c r="AO61"/>
      <c r="AP61"/>
      <c r="AQ61"/>
    </row>
    <row r="62" spans="1:43" ht="14">
      <c r="AB62" s="110" t="s">
        <v>1062</v>
      </c>
      <c r="AC62" s="173">
        <f t="shared" si="24"/>
        <v>4</v>
      </c>
      <c r="AF62" s="213">
        <v>12</v>
      </c>
      <c r="AG62" s="214">
        <v>1</v>
      </c>
    </row>
    <row r="63" spans="1:43" ht="14">
      <c r="AB63" s="110" t="s">
        <v>1587</v>
      </c>
      <c r="AC63" s="173">
        <f t="shared" si="24"/>
        <v>4</v>
      </c>
      <c r="AF63" s="213">
        <v>13</v>
      </c>
      <c r="AG63" s="214">
        <v>2</v>
      </c>
    </row>
    <row r="64" spans="1:43" ht="14">
      <c r="AB64" s="110" t="s">
        <v>1441</v>
      </c>
      <c r="AC64" s="173">
        <f t="shared" si="24"/>
        <v>0</v>
      </c>
      <c r="AF64" s="213">
        <v>14</v>
      </c>
      <c r="AG64" s="214">
        <v>3</v>
      </c>
    </row>
    <row r="65" spans="28:33" ht="14">
      <c r="AB65" s="110" t="s">
        <v>1632</v>
      </c>
      <c r="AC65" s="173">
        <f t="shared" si="24"/>
        <v>4</v>
      </c>
      <c r="AF65" s="213">
        <v>15</v>
      </c>
      <c r="AG65" s="214">
        <v>4</v>
      </c>
    </row>
    <row r="66" spans="28:33" ht="14">
      <c r="AB66" s="110" t="s">
        <v>1430</v>
      </c>
      <c r="AC66" s="173">
        <f t="shared" si="24"/>
        <v>4</v>
      </c>
      <c r="AF66" s="213">
        <v>16</v>
      </c>
      <c r="AG66" s="214">
        <v>5</v>
      </c>
    </row>
    <row r="67" spans="28:33" ht="14">
      <c r="AB67" s="110"/>
      <c r="AF67" s="213">
        <v>17</v>
      </c>
      <c r="AG67" s="214">
        <v>6</v>
      </c>
    </row>
    <row r="68" spans="28:33" ht="14">
      <c r="AB68" s="110"/>
      <c r="AF68" s="213">
        <v>18</v>
      </c>
      <c r="AG68" s="214">
        <v>7</v>
      </c>
    </row>
    <row r="69" spans="28:33">
      <c r="AB69" s="110"/>
    </row>
    <row r="70" spans="28:33">
      <c r="AB70" s="110" t="s">
        <v>1063</v>
      </c>
      <c r="AC70" s="173">
        <f>SUM(AC54:AC66)</f>
        <v>56</v>
      </c>
    </row>
    <row r="71" spans="28:33">
      <c r="AB71" s="110"/>
    </row>
    <row r="72" spans="28:33">
      <c r="AB72" s="110" t="s">
        <v>1064</v>
      </c>
      <c r="AC72" s="173">
        <f>SUM(K24:K37)</f>
        <v>84</v>
      </c>
    </row>
    <row r="73" spans="28:33">
      <c r="AB73" s="110" t="s">
        <v>1553</v>
      </c>
      <c r="AC73" s="173">
        <f>SUM(CharSheetBack!L2:L30)</f>
        <v>172</v>
      </c>
    </row>
    <row r="74" spans="28:33">
      <c r="AB74" s="110" t="s">
        <v>1554</v>
      </c>
      <c r="AC74" s="173">
        <f>SUM(AC80:AC90)</f>
        <v>0</v>
      </c>
    </row>
    <row r="75" spans="28:33">
      <c r="AB75" s="110" t="s">
        <v>1555</v>
      </c>
      <c r="AC75" s="173">
        <f>SUM(AC91:AC101)*-1</f>
        <v>0</v>
      </c>
    </row>
    <row r="76" spans="28:33">
      <c r="AB76" s="110" t="s">
        <v>1679</v>
      </c>
      <c r="AC76" s="173">
        <f>AC72+AC73+AC74+AC75-32</f>
        <v>224</v>
      </c>
    </row>
    <row r="77" spans="28:33">
      <c r="AB77" s="110" t="s">
        <v>658</v>
      </c>
      <c r="AC77" s="173">
        <f>LOOKUP(E1,Species!A2:A65,Species!Q2:Q65)</f>
        <v>0</v>
      </c>
    </row>
    <row r="78" spans="28:33">
      <c r="AB78" s="110" t="s">
        <v>997</v>
      </c>
      <c r="AC78" s="173">
        <f>AC70+AC76+AC77</f>
        <v>280</v>
      </c>
    </row>
    <row r="80" spans="28:33">
      <c r="AB80" s="173" t="s">
        <v>1728</v>
      </c>
      <c r="AC80" s="215">
        <f>CharSheetBack!B19</f>
        <v>0</v>
      </c>
    </row>
    <row r="81" spans="28:29">
      <c r="AC81" s="201">
        <f>CharSheetBack!B20</f>
        <v>0</v>
      </c>
    </row>
    <row r="82" spans="28:29">
      <c r="AC82" s="201">
        <f>CharSheetBack!B21</f>
        <v>0</v>
      </c>
    </row>
    <row r="83" spans="28:29">
      <c r="AC83" s="201">
        <f>CharSheetBack!B22</f>
        <v>0</v>
      </c>
    </row>
    <row r="84" spans="28:29">
      <c r="AC84" s="201">
        <f>CharSheetBack!B23</f>
        <v>0</v>
      </c>
    </row>
    <row r="85" spans="28:29">
      <c r="AC85" s="201">
        <f>CharSheetBack!B24</f>
        <v>0</v>
      </c>
    </row>
    <row r="86" spans="28:29">
      <c r="AC86" s="201">
        <f>CharSheetBack!B25</f>
        <v>0</v>
      </c>
    </row>
    <row r="87" spans="28:29">
      <c r="AC87" s="201">
        <f>CharSheetBack!B26</f>
        <v>0</v>
      </c>
    </row>
    <row r="88" spans="28:29">
      <c r="AC88" s="201">
        <f>CharSheetBack!B27</f>
        <v>0</v>
      </c>
    </row>
    <row r="89" spans="28:29">
      <c r="AC89" s="201">
        <f>CharSheetBack!B28</f>
        <v>0</v>
      </c>
    </row>
    <row r="90" spans="28:29">
      <c r="AC90" s="216">
        <f>CharSheetBack!B29</f>
        <v>0</v>
      </c>
    </row>
    <row r="91" spans="28:29">
      <c r="AB91" s="173" t="s">
        <v>1473</v>
      </c>
      <c r="AC91" s="215">
        <f>CharSheetBack!B31</f>
        <v>0</v>
      </c>
    </row>
    <row r="92" spans="28:29">
      <c r="AC92" s="201">
        <f>CharSheetBack!B32</f>
        <v>0</v>
      </c>
    </row>
    <row r="93" spans="28:29">
      <c r="AC93" s="201">
        <f>CharSheetBack!B33</f>
        <v>0</v>
      </c>
    </row>
    <row r="94" spans="28:29">
      <c r="AC94" s="201">
        <f>CharSheetBack!B34</f>
        <v>0</v>
      </c>
    </row>
    <row r="95" spans="28:29">
      <c r="AC95" s="201">
        <f>CharSheetBack!B35</f>
        <v>0</v>
      </c>
    </row>
    <row r="96" spans="28:29">
      <c r="AC96" s="201">
        <f>CharSheetBack!B36</f>
        <v>0</v>
      </c>
    </row>
    <row r="97" spans="29:29">
      <c r="AC97" s="201">
        <f>CharSheetBack!B37</f>
        <v>0</v>
      </c>
    </row>
    <row r="98" spans="29:29">
      <c r="AC98" s="201">
        <f>CharSheetBack!B38</f>
        <v>0</v>
      </c>
    </row>
    <row r="99" spans="29:29">
      <c r="AC99" s="201">
        <f>CharSheetBack!B39</f>
        <v>0</v>
      </c>
    </row>
    <row r="100" spans="29:29">
      <c r="AC100" s="201">
        <f>CharSheetBack!B40</f>
        <v>0</v>
      </c>
    </row>
    <row r="101" spans="29:29">
      <c r="AC101" s="216">
        <f>CharSheetBack!B41</f>
        <v>0</v>
      </c>
    </row>
  </sheetData>
  <sortState ref="R24:S37">
    <sortCondition ref="R25:R37"/>
  </sortState>
  <mergeCells count="3">
    <mergeCell ref="K6:L7"/>
    <mergeCell ref="M6:M7"/>
    <mergeCell ref="N6:N7"/>
  </mergeCells>
  <phoneticPr fontId="6"/>
  <pageMargins left="0.5" right="0.5" top="0.5" bottom="0.5" header="0" footer="0"/>
  <headerFooter>
    <oddHeader>&amp;L&amp;D</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260"/>
  <sheetViews>
    <sheetView workbookViewId="0">
      <pane ySplit="520" activePane="bottomLeft"/>
      <selection pane="bottomLeft"/>
    </sheetView>
  </sheetViews>
  <sheetFormatPr baseColWidth="10" defaultRowHeight="13"/>
  <cols>
    <col min="1" max="1" width="27.1640625" customWidth="1"/>
    <col min="4" max="4" width="9.83203125" customWidth="1"/>
    <col min="10" max="10" width="3" customWidth="1"/>
    <col min="18" max="18" width="10.83203125" style="103"/>
    <col min="20" max="20" width="26.83203125" customWidth="1"/>
    <col min="21" max="21" width="12.1640625" customWidth="1"/>
    <col min="25" max="25" width="13.5" customWidth="1"/>
  </cols>
  <sheetData>
    <row r="1" spans="1:21">
      <c r="A1" s="127" t="s">
        <v>1200</v>
      </c>
      <c r="B1" s="4" t="s">
        <v>1303</v>
      </c>
      <c r="C1" s="4" t="s">
        <v>1911</v>
      </c>
      <c r="D1" s="4" t="s">
        <v>1285</v>
      </c>
      <c r="E1" s="4" t="s">
        <v>1114</v>
      </c>
      <c r="F1" s="4" t="s">
        <v>1472</v>
      </c>
      <c r="G1" s="4" t="s">
        <v>1725</v>
      </c>
      <c r="H1" s="4" t="s">
        <v>1726</v>
      </c>
      <c r="I1" s="4" t="s">
        <v>1352</v>
      </c>
      <c r="K1" s="96" t="s">
        <v>621</v>
      </c>
      <c r="L1" s="103" t="s">
        <v>1114</v>
      </c>
      <c r="M1" s="103" t="s">
        <v>1472</v>
      </c>
      <c r="N1" s="103" t="s">
        <v>1725</v>
      </c>
      <c r="O1" s="103" t="s">
        <v>1726</v>
      </c>
      <c r="P1" s="103" t="s">
        <v>1352</v>
      </c>
      <c r="U1" s="4" t="s">
        <v>626</v>
      </c>
    </row>
    <row r="2" spans="1:21">
      <c r="A2" s="102" t="s">
        <v>91</v>
      </c>
      <c r="B2" s="114">
        <v>3</v>
      </c>
      <c r="C2" s="114">
        <v>3</v>
      </c>
      <c r="D2" t="s">
        <v>604</v>
      </c>
      <c r="E2" s="117" t="s">
        <v>1433</v>
      </c>
      <c r="F2" s="117" t="s">
        <v>1418</v>
      </c>
      <c r="G2" s="117" t="s">
        <v>1769</v>
      </c>
      <c r="H2" s="103" t="s">
        <v>1682</v>
      </c>
      <c r="I2" s="103" t="s">
        <v>1153</v>
      </c>
      <c r="K2" t="s">
        <v>1883</v>
      </c>
      <c r="L2" s="117" t="s">
        <v>1664</v>
      </c>
      <c r="M2" s="118" t="s">
        <v>1768</v>
      </c>
      <c r="N2" s="117" t="s">
        <v>622</v>
      </c>
      <c r="O2" s="103" t="s">
        <v>1078</v>
      </c>
      <c r="P2" s="103" t="s">
        <v>1873</v>
      </c>
      <c r="U2" s="114">
        <v>3</v>
      </c>
    </row>
    <row r="3" spans="1:21">
      <c r="A3" s="102" t="s">
        <v>0</v>
      </c>
      <c r="B3" s="114">
        <v>3</v>
      </c>
      <c r="C3" s="114">
        <v>3</v>
      </c>
      <c r="D3" t="s">
        <v>604</v>
      </c>
      <c r="E3" s="117" t="s">
        <v>1433</v>
      </c>
      <c r="F3" s="117" t="s">
        <v>1418</v>
      </c>
      <c r="G3" s="117" t="s">
        <v>1769</v>
      </c>
      <c r="H3" s="103" t="s">
        <v>1682</v>
      </c>
      <c r="I3" s="103" t="s">
        <v>1153</v>
      </c>
      <c r="K3" t="s">
        <v>1039</v>
      </c>
      <c r="L3" s="117" t="s">
        <v>1664</v>
      </c>
      <c r="M3" s="118" t="s">
        <v>1768</v>
      </c>
      <c r="N3" s="117" t="s">
        <v>622</v>
      </c>
      <c r="O3" s="103" t="s">
        <v>1078</v>
      </c>
      <c r="P3" s="103" t="s">
        <v>1373</v>
      </c>
      <c r="U3" s="114">
        <v>3</v>
      </c>
    </row>
    <row r="4" spans="1:21">
      <c r="A4" s="102" t="s">
        <v>1</v>
      </c>
      <c r="B4" s="114">
        <v>3</v>
      </c>
      <c r="C4" s="114">
        <v>3</v>
      </c>
      <c r="D4" t="s">
        <v>604</v>
      </c>
      <c r="E4" s="117" t="s">
        <v>1433</v>
      </c>
      <c r="F4" s="117" t="s">
        <v>1418</v>
      </c>
      <c r="G4" s="117" t="s">
        <v>1769</v>
      </c>
      <c r="H4" s="103" t="s">
        <v>1682</v>
      </c>
      <c r="I4" s="103" t="s">
        <v>1153</v>
      </c>
      <c r="K4" t="s">
        <v>1031</v>
      </c>
      <c r="L4" s="117" t="s">
        <v>1664</v>
      </c>
      <c r="M4" s="118" t="s">
        <v>1768</v>
      </c>
      <c r="N4" s="117" t="s">
        <v>1434</v>
      </c>
      <c r="O4" s="103" t="s">
        <v>1032</v>
      </c>
      <c r="P4" s="103" t="s">
        <v>1044</v>
      </c>
      <c r="U4" s="114">
        <v>3</v>
      </c>
    </row>
    <row r="5" spans="1:21">
      <c r="A5" s="102" t="s">
        <v>2</v>
      </c>
      <c r="B5" s="114">
        <v>3</v>
      </c>
      <c r="C5" s="114">
        <v>3</v>
      </c>
      <c r="D5" t="s">
        <v>604</v>
      </c>
      <c r="E5" s="117" t="s">
        <v>1433</v>
      </c>
      <c r="F5" s="117" t="s">
        <v>1418</v>
      </c>
      <c r="G5" s="117" t="s">
        <v>1769</v>
      </c>
      <c r="H5" s="103" t="s">
        <v>1682</v>
      </c>
      <c r="I5" s="103" t="s">
        <v>1153</v>
      </c>
      <c r="K5" t="s">
        <v>1045</v>
      </c>
      <c r="L5" s="117" t="s">
        <v>1046</v>
      </c>
      <c r="M5" s="117" t="s">
        <v>623</v>
      </c>
      <c r="N5" s="117" t="s">
        <v>518</v>
      </c>
      <c r="O5" s="103" t="s">
        <v>1047</v>
      </c>
      <c r="P5" s="103" t="s">
        <v>1882</v>
      </c>
      <c r="U5" s="114">
        <v>3</v>
      </c>
    </row>
    <row r="6" spans="1:21">
      <c r="A6" s="102" t="s">
        <v>3</v>
      </c>
      <c r="B6" s="114">
        <v>16</v>
      </c>
      <c r="C6" s="114">
        <v>3</v>
      </c>
      <c r="D6" t="s">
        <v>937</v>
      </c>
      <c r="E6" s="117" t="s">
        <v>1433</v>
      </c>
      <c r="F6" s="117" t="s">
        <v>1418</v>
      </c>
      <c r="G6" s="117" t="s">
        <v>1769</v>
      </c>
      <c r="H6" s="103" t="s">
        <v>1682</v>
      </c>
      <c r="I6" s="103" t="s">
        <v>1153</v>
      </c>
      <c r="K6" t="s">
        <v>1023</v>
      </c>
      <c r="L6" s="117" t="s">
        <v>1433</v>
      </c>
      <c r="M6" s="117" t="s">
        <v>1418</v>
      </c>
      <c r="N6" s="117" t="s">
        <v>1769</v>
      </c>
      <c r="O6" s="103" t="s">
        <v>1682</v>
      </c>
      <c r="P6" s="103" t="s">
        <v>1153</v>
      </c>
      <c r="U6" s="114">
        <v>16</v>
      </c>
    </row>
    <row r="7" spans="1:21">
      <c r="A7" s="102" t="s">
        <v>4</v>
      </c>
      <c r="B7" s="114">
        <v>18</v>
      </c>
      <c r="C7" s="114">
        <v>3</v>
      </c>
      <c r="D7" t="s">
        <v>937</v>
      </c>
      <c r="E7" s="117" t="s">
        <v>1433</v>
      </c>
      <c r="F7" s="117" t="s">
        <v>1418</v>
      </c>
      <c r="G7" s="117" t="s">
        <v>1769</v>
      </c>
      <c r="H7" s="103" t="s">
        <v>1682</v>
      </c>
      <c r="I7" s="103" t="s">
        <v>1153</v>
      </c>
      <c r="K7" t="s">
        <v>1849</v>
      </c>
      <c r="L7" s="117" t="s">
        <v>1433</v>
      </c>
      <c r="M7" s="117" t="s">
        <v>785</v>
      </c>
      <c r="N7" s="117" t="s">
        <v>1850</v>
      </c>
      <c r="O7" s="103" t="s">
        <v>1851</v>
      </c>
      <c r="P7" s="103" t="s">
        <v>1494</v>
      </c>
      <c r="U7" s="114">
        <v>18</v>
      </c>
    </row>
    <row r="8" spans="1:21">
      <c r="A8" s="102" t="s">
        <v>484</v>
      </c>
      <c r="B8" s="114">
        <v>14</v>
      </c>
      <c r="C8" s="114">
        <v>3</v>
      </c>
      <c r="D8" t="s">
        <v>937</v>
      </c>
      <c r="E8" s="117" t="s">
        <v>1433</v>
      </c>
      <c r="F8" s="117" t="s">
        <v>1418</v>
      </c>
      <c r="G8" s="117" t="s">
        <v>1769</v>
      </c>
      <c r="H8" s="103" t="s">
        <v>1682</v>
      </c>
      <c r="I8" s="103" t="s">
        <v>1153</v>
      </c>
      <c r="K8" t="s">
        <v>1641</v>
      </c>
      <c r="L8" s="117" t="s">
        <v>1433</v>
      </c>
      <c r="M8" s="117" t="s">
        <v>785</v>
      </c>
      <c r="N8" s="117" t="s">
        <v>1850</v>
      </c>
      <c r="O8" s="103" t="s">
        <v>1851</v>
      </c>
      <c r="P8" s="103" t="s">
        <v>1494</v>
      </c>
      <c r="U8" s="114">
        <v>14</v>
      </c>
    </row>
    <row r="9" spans="1:21">
      <c r="A9" s="102" t="s">
        <v>980</v>
      </c>
      <c r="B9" s="114">
        <v>10</v>
      </c>
      <c r="C9" s="114">
        <v>3</v>
      </c>
      <c r="D9" t="s">
        <v>937</v>
      </c>
      <c r="E9" s="117" t="s">
        <v>1433</v>
      </c>
      <c r="F9" s="117" t="s">
        <v>1418</v>
      </c>
      <c r="G9" s="117" t="s">
        <v>1769</v>
      </c>
      <c r="H9" s="103" t="s">
        <v>1682</v>
      </c>
      <c r="I9" s="103" t="s">
        <v>1153</v>
      </c>
      <c r="K9" t="s">
        <v>1453</v>
      </c>
      <c r="L9" s="117" t="s">
        <v>1433</v>
      </c>
      <c r="M9" s="117" t="s">
        <v>519</v>
      </c>
      <c r="N9" s="117" t="s">
        <v>1047</v>
      </c>
      <c r="O9" s="103" t="s">
        <v>1204</v>
      </c>
      <c r="P9" s="103" t="s">
        <v>1205</v>
      </c>
      <c r="U9" s="114">
        <v>5</v>
      </c>
    </row>
    <row r="10" spans="1:21">
      <c r="A10" s="102" t="s">
        <v>421</v>
      </c>
      <c r="B10" s="114">
        <v>12</v>
      </c>
      <c r="C10" s="114">
        <v>3</v>
      </c>
      <c r="D10" t="s">
        <v>937</v>
      </c>
      <c r="E10" s="117" t="s">
        <v>1433</v>
      </c>
      <c r="F10" s="117" t="s">
        <v>1418</v>
      </c>
      <c r="G10" s="117" t="s">
        <v>1769</v>
      </c>
      <c r="H10" s="103" t="s">
        <v>1682</v>
      </c>
      <c r="I10" s="103" t="s">
        <v>1153</v>
      </c>
      <c r="K10" t="s">
        <v>1564</v>
      </c>
      <c r="L10" s="117" t="s">
        <v>1433</v>
      </c>
      <c r="M10" s="117" t="s">
        <v>622</v>
      </c>
      <c r="N10" s="117" t="s">
        <v>1565</v>
      </c>
      <c r="O10" s="103" t="s">
        <v>1210</v>
      </c>
      <c r="P10" s="103" t="s">
        <v>1211</v>
      </c>
      <c r="U10" s="114">
        <v>12</v>
      </c>
    </row>
    <row r="11" spans="1:21">
      <c r="A11" s="102" t="s">
        <v>829</v>
      </c>
      <c r="B11" s="114">
        <v>10</v>
      </c>
      <c r="C11" s="114">
        <v>3</v>
      </c>
      <c r="D11" t="s">
        <v>937</v>
      </c>
      <c r="E11" s="117" t="s">
        <v>1433</v>
      </c>
      <c r="F11" s="117" t="s">
        <v>1418</v>
      </c>
      <c r="G11" s="117" t="s">
        <v>1769</v>
      </c>
      <c r="H11" s="103" t="s">
        <v>1682</v>
      </c>
      <c r="I11" s="103" t="s">
        <v>1153</v>
      </c>
      <c r="K11" t="s">
        <v>915</v>
      </c>
      <c r="L11" s="103" t="s">
        <v>803</v>
      </c>
      <c r="M11" s="117" t="s">
        <v>1152</v>
      </c>
      <c r="N11" s="117" t="s">
        <v>1153</v>
      </c>
      <c r="O11" s="103" t="s">
        <v>1211</v>
      </c>
      <c r="P11" s="103" t="s">
        <v>1155</v>
      </c>
      <c r="U11" s="114">
        <v>10</v>
      </c>
    </row>
    <row r="12" spans="1:21">
      <c r="A12" s="102" t="s">
        <v>825</v>
      </c>
      <c r="B12" s="114">
        <v>7</v>
      </c>
      <c r="C12" s="114">
        <v>3</v>
      </c>
      <c r="D12" t="s">
        <v>937</v>
      </c>
      <c r="E12" s="117" t="s">
        <v>1433</v>
      </c>
      <c r="F12" s="117" t="s">
        <v>1418</v>
      </c>
      <c r="G12" s="117" t="s">
        <v>1769</v>
      </c>
      <c r="H12" s="103" t="s">
        <v>1682</v>
      </c>
      <c r="I12" s="103" t="s">
        <v>1153</v>
      </c>
      <c r="K12" t="s">
        <v>1468</v>
      </c>
      <c r="L12" s="103" t="s">
        <v>523</v>
      </c>
      <c r="M12" s="117" t="s">
        <v>389</v>
      </c>
      <c r="N12" s="103" t="s">
        <v>1155</v>
      </c>
      <c r="O12" s="103" t="s">
        <v>390</v>
      </c>
      <c r="P12" s="103" t="s">
        <v>522</v>
      </c>
      <c r="U12" s="114">
        <v>5</v>
      </c>
    </row>
    <row r="13" spans="1:21">
      <c r="A13" s="102" t="s">
        <v>979</v>
      </c>
      <c r="B13" s="114">
        <v>8</v>
      </c>
      <c r="C13" s="114">
        <v>3</v>
      </c>
      <c r="D13" t="s">
        <v>937</v>
      </c>
      <c r="E13" s="117" t="s">
        <v>1433</v>
      </c>
      <c r="F13" s="117" t="s">
        <v>1418</v>
      </c>
      <c r="G13" s="117" t="s">
        <v>1769</v>
      </c>
      <c r="H13" s="103" t="s">
        <v>1682</v>
      </c>
      <c r="I13" s="103" t="s">
        <v>1153</v>
      </c>
      <c r="K13" t="s">
        <v>1469</v>
      </c>
      <c r="L13" s="103" t="s">
        <v>803</v>
      </c>
      <c r="M13" s="117" t="s">
        <v>518</v>
      </c>
      <c r="N13" s="117" t="s">
        <v>1470</v>
      </c>
      <c r="O13" s="103" t="s">
        <v>944</v>
      </c>
      <c r="P13" s="103" t="s">
        <v>1494</v>
      </c>
      <c r="U13" s="114">
        <v>8</v>
      </c>
    </row>
    <row r="14" spans="1:21">
      <c r="A14" s="102" t="s">
        <v>1407</v>
      </c>
      <c r="B14" s="114">
        <v>12</v>
      </c>
      <c r="C14" s="114">
        <v>3</v>
      </c>
      <c r="D14" t="s">
        <v>425</v>
      </c>
      <c r="E14" s="117" t="s">
        <v>1433</v>
      </c>
      <c r="F14" s="117" t="s">
        <v>1418</v>
      </c>
      <c r="G14" s="117" t="s">
        <v>1769</v>
      </c>
      <c r="H14" s="103" t="s">
        <v>1682</v>
      </c>
      <c r="I14" s="103" t="s">
        <v>1153</v>
      </c>
      <c r="K14" t="s">
        <v>1009</v>
      </c>
      <c r="L14" s="103" t="s">
        <v>803</v>
      </c>
      <c r="M14" s="117" t="s">
        <v>518</v>
      </c>
      <c r="N14" s="117" t="s">
        <v>1010</v>
      </c>
      <c r="O14" s="103" t="s">
        <v>1494</v>
      </c>
      <c r="P14" s="103" t="s">
        <v>1011</v>
      </c>
      <c r="U14" s="114">
        <v>12</v>
      </c>
    </row>
    <row r="15" spans="1:21">
      <c r="A15" s="102" t="s">
        <v>1512</v>
      </c>
      <c r="B15" s="114">
        <v>11</v>
      </c>
      <c r="C15" s="114">
        <v>3</v>
      </c>
      <c r="D15" t="s">
        <v>604</v>
      </c>
      <c r="E15" s="117" t="s">
        <v>1433</v>
      </c>
      <c r="F15" s="117" t="s">
        <v>1418</v>
      </c>
      <c r="G15" s="117" t="s">
        <v>1769</v>
      </c>
      <c r="H15" s="103" t="s">
        <v>1682</v>
      </c>
      <c r="I15" s="103" t="s">
        <v>1153</v>
      </c>
      <c r="K15" t="s">
        <v>1622</v>
      </c>
      <c r="L15" s="103" t="s">
        <v>803</v>
      </c>
      <c r="M15" s="117" t="s">
        <v>518</v>
      </c>
      <c r="N15" s="117" t="s">
        <v>1010</v>
      </c>
      <c r="O15" s="103" t="s">
        <v>1623</v>
      </c>
      <c r="P15" s="103" t="s">
        <v>1258</v>
      </c>
      <c r="U15" s="114">
        <v>11</v>
      </c>
    </row>
    <row r="16" spans="1:21">
      <c r="A16" s="102" t="s">
        <v>5</v>
      </c>
      <c r="B16" s="114">
        <v>12</v>
      </c>
      <c r="C16" s="114">
        <v>3</v>
      </c>
      <c r="D16" t="s">
        <v>604</v>
      </c>
      <c r="E16" s="117" t="s">
        <v>1433</v>
      </c>
      <c r="F16" s="117" t="s">
        <v>1418</v>
      </c>
      <c r="G16" s="117" t="s">
        <v>1769</v>
      </c>
      <c r="H16" s="103" t="s">
        <v>1682</v>
      </c>
      <c r="I16" s="103" t="s">
        <v>1153</v>
      </c>
      <c r="K16" t="s">
        <v>1061</v>
      </c>
      <c r="L16" s="103" t="s">
        <v>803</v>
      </c>
      <c r="M16" s="117" t="s">
        <v>1152</v>
      </c>
      <c r="N16" s="117" t="s">
        <v>1507</v>
      </c>
      <c r="O16" s="103" t="s">
        <v>1000</v>
      </c>
      <c r="P16" s="103" t="s">
        <v>1217</v>
      </c>
      <c r="U16" s="114">
        <v>12</v>
      </c>
    </row>
    <row r="17" spans="1:21">
      <c r="A17" s="102" t="s">
        <v>1302</v>
      </c>
      <c r="B17" s="114">
        <v>10</v>
      </c>
      <c r="C17" s="114">
        <v>3</v>
      </c>
      <c r="D17" t="s">
        <v>604</v>
      </c>
      <c r="E17" s="117" t="s">
        <v>1433</v>
      </c>
      <c r="F17" s="117" t="s">
        <v>1418</v>
      </c>
      <c r="G17" s="117" t="s">
        <v>1769</v>
      </c>
      <c r="H17" s="103" t="s">
        <v>1682</v>
      </c>
      <c r="I17" s="103" t="s">
        <v>1153</v>
      </c>
      <c r="K17" t="s">
        <v>1455</v>
      </c>
      <c r="L17" s="103" t="s">
        <v>639</v>
      </c>
      <c r="M17" s="117" t="s">
        <v>1619</v>
      </c>
      <c r="N17" s="117" t="s">
        <v>1153</v>
      </c>
      <c r="O17" s="103" t="s">
        <v>487</v>
      </c>
      <c r="P17" s="103" t="s">
        <v>1494</v>
      </c>
      <c r="U17" s="114">
        <v>10</v>
      </c>
    </row>
    <row r="18" spans="1:21">
      <c r="A18" s="102" t="s">
        <v>838</v>
      </c>
      <c r="B18" s="114">
        <v>8</v>
      </c>
      <c r="C18" s="114">
        <v>3</v>
      </c>
      <c r="D18" t="s">
        <v>604</v>
      </c>
      <c r="E18" s="117" t="s">
        <v>1433</v>
      </c>
      <c r="F18" s="117" t="s">
        <v>1418</v>
      </c>
      <c r="G18" s="117" t="s">
        <v>1769</v>
      </c>
      <c r="H18" s="103" t="s">
        <v>1682</v>
      </c>
      <c r="I18" s="103" t="s">
        <v>1153</v>
      </c>
      <c r="K18" t="s">
        <v>1395</v>
      </c>
      <c r="L18" s="103" t="s">
        <v>639</v>
      </c>
      <c r="M18" s="117" t="s">
        <v>1396</v>
      </c>
      <c r="N18" s="117" t="s">
        <v>1397</v>
      </c>
      <c r="O18" s="103" t="s">
        <v>1000</v>
      </c>
      <c r="P18" s="103" t="s">
        <v>1973</v>
      </c>
      <c r="U18" s="114">
        <v>5</v>
      </c>
    </row>
    <row r="19" spans="1:21">
      <c r="A19" s="102" t="s">
        <v>1298</v>
      </c>
      <c r="B19" s="114">
        <v>9</v>
      </c>
      <c r="C19" s="114">
        <v>3</v>
      </c>
      <c r="D19" t="s">
        <v>604</v>
      </c>
      <c r="E19" s="117" t="s">
        <v>1433</v>
      </c>
      <c r="F19" s="117" t="s">
        <v>1418</v>
      </c>
      <c r="G19" s="117" t="s">
        <v>1769</v>
      </c>
      <c r="H19" s="103" t="s">
        <v>1682</v>
      </c>
      <c r="I19" s="103" t="s">
        <v>1153</v>
      </c>
      <c r="U19" s="114">
        <v>9</v>
      </c>
    </row>
    <row r="20" spans="1:21">
      <c r="A20" s="102" t="s">
        <v>1129</v>
      </c>
      <c r="B20" s="114">
        <v>8</v>
      </c>
      <c r="C20" s="114">
        <v>3</v>
      </c>
      <c r="D20" t="s">
        <v>604</v>
      </c>
      <c r="E20" s="117" t="s">
        <v>1433</v>
      </c>
      <c r="F20" s="117" t="s">
        <v>1418</v>
      </c>
      <c r="G20" s="117" t="s">
        <v>1769</v>
      </c>
      <c r="H20" s="103" t="s">
        <v>1682</v>
      </c>
      <c r="I20" s="103" t="s">
        <v>1153</v>
      </c>
      <c r="U20" s="114">
        <v>8</v>
      </c>
    </row>
    <row r="21" spans="1:21">
      <c r="A21" s="102" t="s">
        <v>692</v>
      </c>
      <c r="B21" s="114">
        <v>6</v>
      </c>
      <c r="C21" s="114">
        <v>3</v>
      </c>
      <c r="D21" t="s">
        <v>604</v>
      </c>
      <c r="E21" s="117" t="s">
        <v>1433</v>
      </c>
      <c r="F21" s="117" t="s">
        <v>1418</v>
      </c>
      <c r="G21" s="117" t="s">
        <v>1769</v>
      </c>
      <c r="H21" s="103" t="s">
        <v>1682</v>
      </c>
      <c r="I21" s="103" t="s">
        <v>1153</v>
      </c>
      <c r="U21" s="114">
        <v>5</v>
      </c>
    </row>
    <row r="22" spans="1:21">
      <c r="A22" s="102" t="s">
        <v>1588</v>
      </c>
      <c r="B22" s="114">
        <v>7</v>
      </c>
      <c r="C22" s="114">
        <v>3</v>
      </c>
      <c r="D22" t="s">
        <v>604</v>
      </c>
      <c r="E22" s="117" t="s">
        <v>1433</v>
      </c>
      <c r="F22" s="117" t="s">
        <v>1418</v>
      </c>
      <c r="G22" s="117" t="s">
        <v>1769</v>
      </c>
      <c r="H22" s="103" t="s">
        <v>1682</v>
      </c>
      <c r="I22" s="103" t="s">
        <v>1153</v>
      </c>
      <c r="U22" s="114">
        <v>7</v>
      </c>
    </row>
    <row r="23" spans="1:21">
      <c r="A23" s="102" t="s">
        <v>2043</v>
      </c>
      <c r="B23" s="114">
        <v>5</v>
      </c>
      <c r="C23" s="114">
        <v>3</v>
      </c>
      <c r="D23" t="s">
        <v>604</v>
      </c>
      <c r="E23" s="117" t="s">
        <v>1433</v>
      </c>
      <c r="F23" s="117" t="s">
        <v>1418</v>
      </c>
      <c r="G23" s="117" t="s">
        <v>1769</v>
      </c>
      <c r="H23" s="103" t="s">
        <v>1682</v>
      </c>
      <c r="I23" s="103" t="s">
        <v>1153</v>
      </c>
      <c r="U23" s="114">
        <v>6</v>
      </c>
    </row>
    <row r="24" spans="1:21">
      <c r="A24" s="102" t="s">
        <v>1981</v>
      </c>
      <c r="B24" s="114">
        <v>4</v>
      </c>
      <c r="C24" s="114">
        <v>3</v>
      </c>
      <c r="D24" t="s">
        <v>604</v>
      </c>
      <c r="E24" s="117" t="s">
        <v>1433</v>
      </c>
      <c r="F24" s="117" t="s">
        <v>1418</v>
      </c>
      <c r="G24" s="117" t="s">
        <v>1769</v>
      </c>
      <c r="H24" s="103" t="s">
        <v>1682</v>
      </c>
      <c r="I24" s="103" t="s">
        <v>1153</v>
      </c>
      <c r="U24" s="114">
        <v>5</v>
      </c>
    </row>
    <row r="25" spans="1:21">
      <c r="A25" s="102" t="s">
        <v>1980</v>
      </c>
      <c r="B25" s="114">
        <v>4</v>
      </c>
      <c r="C25" s="114">
        <v>3</v>
      </c>
      <c r="D25" t="s">
        <v>604</v>
      </c>
      <c r="E25" s="117" t="s">
        <v>1433</v>
      </c>
      <c r="F25" s="117" t="s">
        <v>1418</v>
      </c>
      <c r="G25" s="117" t="s">
        <v>1769</v>
      </c>
      <c r="H25" s="103" t="s">
        <v>1682</v>
      </c>
      <c r="I25" s="103" t="s">
        <v>1153</v>
      </c>
      <c r="U25" s="114">
        <v>4</v>
      </c>
    </row>
    <row r="26" spans="1:21">
      <c r="A26" s="102" t="s">
        <v>749</v>
      </c>
      <c r="B26" s="114">
        <v>4</v>
      </c>
      <c r="C26" s="114">
        <v>3</v>
      </c>
      <c r="D26" t="s">
        <v>604</v>
      </c>
      <c r="E26" s="117" t="s">
        <v>1433</v>
      </c>
      <c r="F26" s="117" t="s">
        <v>1418</v>
      </c>
      <c r="G26" s="117" t="s">
        <v>1769</v>
      </c>
      <c r="H26" s="103" t="s">
        <v>1682</v>
      </c>
      <c r="I26" s="103" t="s">
        <v>1153</v>
      </c>
      <c r="U26" s="114">
        <v>4</v>
      </c>
    </row>
    <row r="27" spans="1:21">
      <c r="A27" s="102" t="s">
        <v>1979</v>
      </c>
      <c r="B27" s="114">
        <v>4</v>
      </c>
      <c r="C27" s="114">
        <v>3</v>
      </c>
      <c r="D27" t="s">
        <v>604</v>
      </c>
      <c r="E27" s="117" t="s">
        <v>1433</v>
      </c>
      <c r="F27" s="117" t="s">
        <v>1418</v>
      </c>
      <c r="G27" s="117" t="s">
        <v>1769</v>
      </c>
      <c r="H27" s="103" t="s">
        <v>1682</v>
      </c>
      <c r="I27" s="103" t="s">
        <v>1153</v>
      </c>
      <c r="U27" s="114">
        <v>4</v>
      </c>
    </row>
    <row r="28" spans="1:21">
      <c r="A28" s="102" t="s">
        <v>1781</v>
      </c>
      <c r="B28" s="114">
        <v>8</v>
      </c>
      <c r="C28" s="114">
        <v>3</v>
      </c>
      <c r="D28" t="s">
        <v>604</v>
      </c>
      <c r="E28" s="117" t="s">
        <v>1433</v>
      </c>
      <c r="F28" s="117" t="s">
        <v>1418</v>
      </c>
      <c r="G28" s="117" t="s">
        <v>1769</v>
      </c>
      <c r="H28" s="103" t="s">
        <v>1682</v>
      </c>
      <c r="I28" s="103" t="s">
        <v>1153</v>
      </c>
      <c r="U28" s="114">
        <v>4</v>
      </c>
    </row>
    <row r="29" spans="1:21">
      <c r="A29" s="102" t="s">
        <v>1782</v>
      </c>
      <c r="B29" s="114">
        <v>9</v>
      </c>
      <c r="C29" s="114">
        <v>3</v>
      </c>
      <c r="D29" t="s">
        <v>604</v>
      </c>
      <c r="E29" s="117" t="s">
        <v>1433</v>
      </c>
      <c r="F29" s="117" t="s">
        <v>1418</v>
      </c>
      <c r="G29" s="117" t="s">
        <v>1769</v>
      </c>
      <c r="H29" s="103" t="s">
        <v>1682</v>
      </c>
      <c r="I29" s="103" t="s">
        <v>1153</v>
      </c>
      <c r="R29" s="114"/>
      <c r="U29" s="114">
        <v>6</v>
      </c>
    </row>
    <row r="30" spans="1:21">
      <c r="A30" s="102" t="s">
        <v>1645</v>
      </c>
      <c r="B30" s="114">
        <v>7</v>
      </c>
      <c r="C30" s="114">
        <v>3</v>
      </c>
      <c r="D30" t="s">
        <v>604</v>
      </c>
      <c r="E30" s="117" t="s">
        <v>1433</v>
      </c>
      <c r="F30" s="117" t="s">
        <v>1418</v>
      </c>
      <c r="G30" s="117" t="s">
        <v>1769</v>
      </c>
      <c r="H30" s="103" t="s">
        <v>1682</v>
      </c>
      <c r="I30" s="103" t="s">
        <v>1153</v>
      </c>
      <c r="U30" s="114">
        <v>10</v>
      </c>
    </row>
    <row r="31" spans="1:21">
      <c r="A31" s="102" t="s">
        <v>1206</v>
      </c>
      <c r="B31" s="114">
        <v>9</v>
      </c>
      <c r="C31" s="114">
        <v>3</v>
      </c>
      <c r="D31" t="s">
        <v>604</v>
      </c>
      <c r="E31" s="117" t="s">
        <v>1433</v>
      </c>
      <c r="F31" s="117" t="s">
        <v>1418</v>
      </c>
      <c r="G31" s="117" t="s">
        <v>1769</v>
      </c>
      <c r="H31" s="103" t="s">
        <v>1682</v>
      </c>
      <c r="I31" s="103" t="s">
        <v>1153</v>
      </c>
      <c r="U31" s="114">
        <v>4</v>
      </c>
    </row>
    <row r="32" spans="1:21">
      <c r="A32" s="102" t="s">
        <v>1212</v>
      </c>
      <c r="B32" s="114">
        <v>8</v>
      </c>
      <c r="C32" s="114">
        <v>3</v>
      </c>
      <c r="D32" t="s">
        <v>604</v>
      </c>
      <c r="E32" s="117" t="s">
        <v>1433</v>
      </c>
      <c r="F32" s="117" t="s">
        <v>1418</v>
      </c>
      <c r="G32" s="117" t="s">
        <v>1769</v>
      </c>
      <c r="H32" s="103" t="s">
        <v>1682</v>
      </c>
      <c r="I32" s="103" t="s">
        <v>1153</v>
      </c>
      <c r="U32" s="114">
        <v>8</v>
      </c>
    </row>
    <row r="33" spans="1:21">
      <c r="A33" s="102" t="s">
        <v>1962</v>
      </c>
      <c r="B33" s="114">
        <v>6</v>
      </c>
      <c r="C33" s="114">
        <v>3</v>
      </c>
      <c r="D33" t="s">
        <v>604</v>
      </c>
      <c r="E33" s="117" t="s">
        <v>1433</v>
      </c>
      <c r="F33" s="117" t="s">
        <v>1418</v>
      </c>
      <c r="G33" s="117" t="s">
        <v>1769</v>
      </c>
      <c r="H33" s="103" t="s">
        <v>1682</v>
      </c>
      <c r="I33" s="103" t="s">
        <v>1153</v>
      </c>
      <c r="U33" s="114">
        <v>7</v>
      </c>
    </row>
    <row r="34" spans="1:21">
      <c r="A34" s="102" t="s">
        <v>1637</v>
      </c>
      <c r="B34" s="114">
        <v>7</v>
      </c>
      <c r="C34" s="114">
        <v>3</v>
      </c>
      <c r="D34" t="s">
        <v>604</v>
      </c>
      <c r="E34" s="117" t="s">
        <v>1433</v>
      </c>
      <c r="F34" s="117" t="s">
        <v>1418</v>
      </c>
      <c r="G34" s="117" t="s">
        <v>1769</v>
      </c>
      <c r="H34" s="103" t="s">
        <v>1682</v>
      </c>
      <c r="I34" s="103" t="s">
        <v>1153</v>
      </c>
      <c r="U34" s="114">
        <v>4</v>
      </c>
    </row>
    <row r="35" spans="1:21">
      <c r="A35" s="102" t="s">
        <v>1961</v>
      </c>
      <c r="B35" s="114">
        <v>5</v>
      </c>
      <c r="C35" s="114">
        <v>3</v>
      </c>
      <c r="D35" t="s">
        <v>604</v>
      </c>
      <c r="E35" s="117" t="s">
        <v>1433</v>
      </c>
      <c r="F35" s="117" t="s">
        <v>1418</v>
      </c>
      <c r="G35" s="117" t="s">
        <v>1769</v>
      </c>
      <c r="H35" s="103" t="s">
        <v>1682</v>
      </c>
      <c r="I35" s="103" t="s">
        <v>1153</v>
      </c>
      <c r="U35" s="114">
        <v>6</v>
      </c>
    </row>
    <row r="36" spans="1:21">
      <c r="A36" s="102" t="s">
        <v>542</v>
      </c>
      <c r="B36" s="114">
        <v>4</v>
      </c>
      <c r="C36" s="114">
        <v>3</v>
      </c>
      <c r="D36" t="s">
        <v>604</v>
      </c>
      <c r="E36" s="117" t="s">
        <v>1433</v>
      </c>
      <c r="F36" s="117" t="s">
        <v>1418</v>
      </c>
      <c r="G36" s="117" t="s">
        <v>1769</v>
      </c>
      <c r="H36" s="103" t="s">
        <v>1682</v>
      </c>
      <c r="I36" s="103" t="s">
        <v>1153</v>
      </c>
      <c r="U36" s="114">
        <v>4</v>
      </c>
    </row>
    <row r="37" spans="1:21">
      <c r="A37" s="102" t="s">
        <v>832</v>
      </c>
      <c r="B37" s="114">
        <v>4</v>
      </c>
      <c r="C37" s="114">
        <v>3</v>
      </c>
      <c r="D37" t="s">
        <v>604</v>
      </c>
      <c r="E37" s="117" t="s">
        <v>1433</v>
      </c>
      <c r="F37" s="117" t="s">
        <v>1418</v>
      </c>
      <c r="G37" s="117" t="s">
        <v>1769</v>
      </c>
      <c r="H37" s="103" t="s">
        <v>1682</v>
      </c>
      <c r="I37" s="103" t="s">
        <v>1153</v>
      </c>
      <c r="U37" s="114">
        <v>4</v>
      </c>
    </row>
    <row r="38" spans="1:21">
      <c r="A38" s="102" t="s">
        <v>1411</v>
      </c>
      <c r="B38" s="114">
        <v>4</v>
      </c>
      <c r="C38" s="114">
        <v>3</v>
      </c>
      <c r="D38" t="s">
        <v>604</v>
      </c>
      <c r="E38" s="117" t="s">
        <v>1433</v>
      </c>
      <c r="F38" s="117" t="s">
        <v>1418</v>
      </c>
      <c r="G38" s="117" t="s">
        <v>1769</v>
      </c>
      <c r="H38" s="103" t="s">
        <v>1682</v>
      </c>
      <c r="I38" s="103" t="s">
        <v>1153</v>
      </c>
      <c r="U38" s="114">
        <v>4</v>
      </c>
    </row>
    <row r="39" spans="1:21">
      <c r="A39" s="102" t="s">
        <v>881</v>
      </c>
      <c r="B39" s="114">
        <v>6</v>
      </c>
      <c r="C39" s="114">
        <v>3</v>
      </c>
      <c r="D39" t="s">
        <v>604</v>
      </c>
      <c r="E39" s="117" t="s">
        <v>1433</v>
      </c>
      <c r="F39" s="117" t="s">
        <v>1418</v>
      </c>
      <c r="G39" s="117" t="s">
        <v>1769</v>
      </c>
      <c r="H39" s="103" t="s">
        <v>1682</v>
      </c>
      <c r="I39" s="103" t="s">
        <v>1153</v>
      </c>
      <c r="U39" s="114">
        <v>4</v>
      </c>
    </row>
    <row r="40" spans="1:21">
      <c r="A40" s="102" t="s">
        <v>799</v>
      </c>
      <c r="B40" s="114">
        <v>7</v>
      </c>
      <c r="C40" s="114">
        <v>3</v>
      </c>
      <c r="D40" t="s">
        <v>604</v>
      </c>
      <c r="E40" s="117" t="s">
        <v>1433</v>
      </c>
      <c r="F40" s="117" t="s">
        <v>1418</v>
      </c>
      <c r="G40" s="117" t="s">
        <v>1769</v>
      </c>
      <c r="H40" s="103" t="s">
        <v>1682</v>
      </c>
      <c r="I40" s="103" t="s">
        <v>1153</v>
      </c>
      <c r="R40" s="114"/>
      <c r="U40" s="114">
        <v>4</v>
      </c>
    </row>
    <row r="41" spans="1:21">
      <c r="A41" s="102" t="s">
        <v>1591</v>
      </c>
      <c r="B41" s="114">
        <v>9</v>
      </c>
      <c r="C41" s="114">
        <v>3</v>
      </c>
      <c r="D41" t="s">
        <v>604</v>
      </c>
      <c r="E41" s="117" t="s">
        <v>1433</v>
      </c>
      <c r="F41" s="117" t="s">
        <v>1418</v>
      </c>
      <c r="G41" s="117" t="s">
        <v>1769</v>
      </c>
      <c r="H41" s="103" t="s">
        <v>1682</v>
      </c>
      <c r="I41" s="103" t="s">
        <v>1153</v>
      </c>
      <c r="U41" s="114">
        <v>4</v>
      </c>
    </row>
    <row r="42" spans="1:21">
      <c r="A42" s="102" t="s">
        <v>1590</v>
      </c>
      <c r="B42" s="114">
        <v>8</v>
      </c>
      <c r="C42" s="114">
        <v>3</v>
      </c>
      <c r="D42" t="s">
        <v>604</v>
      </c>
      <c r="E42" s="117" t="s">
        <v>1433</v>
      </c>
      <c r="F42" s="117" t="s">
        <v>1418</v>
      </c>
      <c r="G42" s="117" t="s">
        <v>1769</v>
      </c>
      <c r="H42" s="103" t="s">
        <v>1682</v>
      </c>
      <c r="I42" s="103" t="s">
        <v>1153</v>
      </c>
      <c r="U42" s="114">
        <v>8</v>
      </c>
    </row>
    <row r="43" spans="1:21">
      <c r="A43" s="102" t="s">
        <v>931</v>
      </c>
      <c r="B43" s="114">
        <v>6</v>
      </c>
      <c r="C43" s="114">
        <v>3</v>
      </c>
      <c r="D43" t="s">
        <v>604</v>
      </c>
      <c r="E43" s="117" t="s">
        <v>1433</v>
      </c>
      <c r="F43" s="117" t="s">
        <v>1418</v>
      </c>
      <c r="G43" s="117" t="s">
        <v>1769</v>
      </c>
      <c r="H43" s="103" t="s">
        <v>1682</v>
      </c>
      <c r="I43" s="103" t="s">
        <v>1153</v>
      </c>
      <c r="U43" s="114">
        <v>7</v>
      </c>
    </row>
    <row r="44" spans="1:21">
      <c r="A44" s="102" t="s">
        <v>798</v>
      </c>
      <c r="B44" s="114">
        <v>7</v>
      </c>
      <c r="C44" s="114">
        <v>3</v>
      </c>
      <c r="D44" t="s">
        <v>604</v>
      </c>
      <c r="E44" s="117" t="s">
        <v>1433</v>
      </c>
      <c r="F44" s="117" t="s">
        <v>1418</v>
      </c>
      <c r="G44" s="117" t="s">
        <v>1769</v>
      </c>
      <c r="H44" s="103" t="s">
        <v>1682</v>
      </c>
      <c r="I44" s="103" t="s">
        <v>1153</v>
      </c>
      <c r="U44" s="114">
        <v>4</v>
      </c>
    </row>
    <row r="45" spans="1:21">
      <c r="A45" s="102" t="s">
        <v>1316</v>
      </c>
      <c r="B45" s="114">
        <v>5</v>
      </c>
      <c r="C45" s="114">
        <v>3</v>
      </c>
      <c r="D45" t="s">
        <v>604</v>
      </c>
      <c r="E45" s="117" t="s">
        <v>1433</v>
      </c>
      <c r="F45" s="117" t="s">
        <v>1418</v>
      </c>
      <c r="G45" s="117" t="s">
        <v>1769</v>
      </c>
      <c r="H45" s="103" t="s">
        <v>1682</v>
      </c>
      <c r="I45" s="103" t="s">
        <v>1153</v>
      </c>
      <c r="U45" s="114">
        <v>6</v>
      </c>
    </row>
    <row r="46" spans="1:21">
      <c r="A46" s="102" t="s">
        <v>1325</v>
      </c>
      <c r="B46" s="114">
        <v>4</v>
      </c>
      <c r="C46" s="114">
        <v>3</v>
      </c>
      <c r="D46" t="s">
        <v>604</v>
      </c>
      <c r="E46" s="117" t="s">
        <v>1433</v>
      </c>
      <c r="F46" s="117" t="s">
        <v>1418</v>
      </c>
      <c r="G46" s="117" t="s">
        <v>1769</v>
      </c>
      <c r="H46" s="103" t="s">
        <v>1682</v>
      </c>
      <c r="I46" s="103" t="s">
        <v>1153</v>
      </c>
      <c r="U46" s="114">
        <v>4</v>
      </c>
    </row>
    <row r="47" spans="1:21">
      <c r="A47" s="102" t="s">
        <v>869</v>
      </c>
      <c r="B47" s="114">
        <v>4</v>
      </c>
      <c r="C47" s="114">
        <v>3</v>
      </c>
      <c r="D47" t="s">
        <v>604</v>
      </c>
      <c r="E47" s="117" t="s">
        <v>1433</v>
      </c>
      <c r="F47" s="117" t="s">
        <v>1418</v>
      </c>
      <c r="G47" s="117" t="s">
        <v>1769</v>
      </c>
      <c r="H47" s="103" t="s">
        <v>1682</v>
      </c>
      <c r="I47" s="103" t="s">
        <v>1153</v>
      </c>
      <c r="U47" s="114">
        <v>4</v>
      </c>
    </row>
    <row r="48" spans="1:21">
      <c r="A48" s="102" t="s">
        <v>1034</v>
      </c>
      <c r="B48" s="114">
        <v>4</v>
      </c>
      <c r="C48" s="114">
        <v>3</v>
      </c>
      <c r="D48" t="s">
        <v>604</v>
      </c>
      <c r="E48" s="117" t="s">
        <v>1433</v>
      </c>
      <c r="F48" s="117" t="s">
        <v>1418</v>
      </c>
      <c r="G48" s="117" t="s">
        <v>1769</v>
      </c>
      <c r="H48" s="103" t="s">
        <v>1682</v>
      </c>
      <c r="I48" s="103" t="s">
        <v>1153</v>
      </c>
      <c r="U48" s="114">
        <v>4</v>
      </c>
    </row>
    <row r="49" spans="1:21">
      <c r="A49" s="102" t="s">
        <v>1600</v>
      </c>
      <c r="B49" s="114">
        <v>5</v>
      </c>
      <c r="C49" s="114">
        <v>3</v>
      </c>
      <c r="D49" t="s">
        <v>604</v>
      </c>
      <c r="E49" s="117" t="s">
        <v>1433</v>
      </c>
      <c r="F49" s="117" t="s">
        <v>1418</v>
      </c>
      <c r="G49" s="117" t="s">
        <v>1769</v>
      </c>
      <c r="H49" s="103" t="s">
        <v>1682</v>
      </c>
      <c r="I49" s="103" t="s">
        <v>1153</v>
      </c>
      <c r="U49" s="114">
        <v>4</v>
      </c>
    </row>
    <row r="50" spans="1:21">
      <c r="A50" s="102" t="s">
        <v>1620</v>
      </c>
      <c r="B50" s="114">
        <v>4</v>
      </c>
      <c r="C50" s="114">
        <v>3</v>
      </c>
      <c r="D50" t="s">
        <v>604</v>
      </c>
      <c r="E50" s="117" t="s">
        <v>1433</v>
      </c>
      <c r="F50" s="117" t="s">
        <v>1418</v>
      </c>
      <c r="G50" s="117" t="s">
        <v>1769</v>
      </c>
      <c r="H50" s="103" t="s">
        <v>1682</v>
      </c>
      <c r="I50" s="103" t="s">
        <v>1153</v>
      </c>
      <c r="R50" s="114"/>
      <c r="U50" s="114">
        <v>4</v>
      </c>
    </row>
    <row r="51" spans="1:21">
      <c r="A51" s="102" t="s">
        <v>1164</v>
      </c>
      <c r="B51" s="114">
        <v>3</v>
      </c>
      <c r="C51" s="114">
        <v>3</v>
      </c>
      <c r="D51" t="s">
        <v>604</v>
      </c>
      <c r="E51" s="117" t="s">
        <v>1433</v>
      </c>
      <c r="F51" s="117" t="s">
        <v>1418</v>
      </c>
      <c r="G51" s="117" t="s">
        <v>1769</v>
      </c>
      <c r="H51" s="103" t="s">
        <v>1682</v>
      </c>
      <c r="I51" s="103" t="s">
        <v>1153</v>
      </c>
      <c r="U51" s="114">
        <v>4</v>
      </c>
    </row>
    <row r="52" spans="1:21">
      <c r="A52" s="102" t="s">
        <v>1165</v>
      </c>
      <c r="B52" s="114">
        <v>3</v>
      </c>
      <c r="C52" s="114">
        <v>3</v>
      </c>
      <c r="D52" t="s">
        <v>604</v>
      </c>
      <c r="E52" s="117" t="s">
        <v>1433</v>
      </c>
      <c r="F52" s="117" t="s">
        <v>1418</v>
      </c>
      <c r="G52" s="117" t="s">
        <v>1769</v>
      </c>
      <c r="H52" s="103" t="s">
        <v>1682</v>
      </c>
      <c r="I52" s="103" t="s">
        <v>1153</v>
      </c>
      <c r="U52" s="114">
        <v>4</v>
      </c>
    </row>
    <row r="53" spans="1:21">
      <c r="A53" s="102" t="s">
        <v>1983</v>
      </c>
      <c r="B53" s="114">
        <v>3</v>
      </c>
      <c r="C53" s="114">
        <v>3</v>
      </c>
      <c r="D53" t="s">
        <v>604</v>
      </c>
      <c r="E53" s="117" t="s">
        <v>1433</v>
      </c>
      <c r="F53" s="117" t="s">
        <v>1418</v>
      </c>
      <c r="G53" s="117" t="s">
        <v>1769</v>
      </c>
      <c r="H53" s="103" t="s">
        <v>1682</v>
      </c>
      <c r="I53" s="103" t="s">
        <v>1153</v>
      </c>
      <c r="U53" s="114">
        <v>4</v>
      </c>
    </row>
    <row r="54" spans="1:21">
      <c r="A54" s="102" t="s">
        <v>1438</v>
      </c>
      <c r="B54" s="114">
        <v>3</v>
      </c>
      <c r="C54" s="114">
        <v>3</v>
      </c>
      <c r="D54" t="s">
        <v>604</v>
      </c>
      <c r="E54" s="117" t="s">
        <v>1433</v>
      </c>
      <c r="F54" s="117" t="s">
        <v>1418</v>
      </c>
      <c r="G54" s="117" t="s">
        <v>1769</v>
      </c>
      <c r="H54" s="103" t="s">
        <v>1682</v>
      </c>
      <c r="I54" s="103" t="s">
        <v>1153</v>
      </c>
      <c r="U54" s="114">
        <v>4</v>
      </c>
    </row>
    <row r="55" spans="1:21">
      <c r="A55" s="102" t="s">
        <v>1628</v>
      </c>
      <c r="B55" s="114">
        <v>3</v>
      </c>
      <c r="C55" s="114">
        <v>3</v>
      </c>
      <c r="D55" t="s">
        <v>604</v>
      </c>
      <c r="E55" s="117" t="s">
        <v>1433</v>
      </c>
      <c r="F55" s="117" t="s">
        <v>1418</v>
      </c>
      <c r="G55" s="117" t="s">
        <v>1769</v>
      </c>
      <c r="H55" s="103" t="s">
        <v>1682</v>
      </c>
      <c r="I55" s="103" t="s">
        <v>1153</v>
      </c>
      <c r="U55" s="114">
        <v>4</v>
      </c>
    </row>
    <row r="56" spans="1:21">
      <c r="A56" s="128" t="s">
        <v>526</v>
      </c>
      <c r="B56" s="114">
        <v>3</v>
      </c>
      <c r="C56" s="114">
        <v>7</v>
      </c>
      <c r="D56" t="s">
        <v>603</v>
      </c>
      <c r="E56" s="117" t="s">
        <v>1664</v>
      </c>
      <c r="F56" s="118" t="s">
        <v>1768</v>
      </c>
      <c r="G56" s="117" t="s">
        <v>622</v>
      </c>
      <c r="H56" s="103" t="s">
        <v>1078</v>
      </c>
      <c r="I56" s="103" t="s">
        <v>1373</v>
      </c>
      <c r="U56" s="114">
        <v>3</v>
      </c>
    </row>
    <row r="57" spans="1:21">
      <c r="A57" s="128" t="s">
        <v>605</v>
      </c>
      <c r="B57" s="114">
        <v>3</v>
      </c>
      <c r="C57" s="114">
        <v>7</v>
      </c>
      <c r="D57" t="s">
        <v>603</v>
      </c>
      <c r="E57" s="117" t="s">
        <v>1664</v>
      </c>
      <c r="F57" s="118" t="s">
        <v>1768</v>
      </c>
      <c r="G57" s="117" t="s">
        <v>622</v>
      </c>
      <c r="H57" s="103" t="s">
        <v>1078</v>
      </c>
      <c r="I57" s="103" t="s">
        <v>1373</v>
      </c>
      <c r="R57" s="114"/>
      <c r="U57" s="114">
        <v>2</v>
      </c>
    </row>
    <row r="58" spans="1:21">
      <c r="A58" s="128" t="s">
        <v>1324</v>
      </c>
      <c r="B58" s="114">
        <v>4</v>
      </c>
      <c r="C58" s="114">
        <v>7</v>
      </c>
      <c r="D58" t="s">
        <v>603</v>
      </c>
      <c r="E58" s="117" t="s">
        <v>1664</v>
      </c>
      <c r="F58" s="118" t="s">
        <v>1768</v>
      </c>
      <c r="G58" s="117" t="s">
        <v>622</v>
      </c>
      <c r="H58" s="103" t="s">
        <v>1078</v>
      </c>
      <c r="I58" s="103" t="s">
        <v>1373</v>
      </c>
      <c r="R58" s="114"/>
      <c r="U58" s="114">
        <v>2</v>
      </c>
    </row>
    <row r="59" spans="1:21">
      <c r="A59" s="128" t="s">
        <v>1721</v>
      </c>
      <c r="B59" s="114">
        <v>4</v>
      </c>
      <c r="C59" s="114">
        <v>7</v>
      </c>
      <c r="D59" t="s">
        <v>603</v>
      </c>
      <c r="E59" s="117" t="s">
        <v>1664</v>
      </c>
      <c r="F59" s="118" t="s">
        <v>1768</v>
      </c>
      <c r="G59" s="117" t="s">
        <v>622</v>
      </c>
      <c r="H59" s="103" t="s">
        <v>1078</v>
      </c>
      <c r="I59" s="103" t="s">
        <v>1373</v>
      </c>
      <c r="R59" s="114"/>
      <c r="U59" s="114">
        <v>3</v>
      </c>
    </row>
    <row r="60" spans="1:21">
      <c r="A60" s="128" t="s">
        <v>1322</v>
      </c>
      <c r="B60" s="114">
        <v>5</v>
      </c>
      <c r="C60" s="114">
        <v>7</v>
      </c>
      <c r="D60" t="s">
        <v>603</v>
      </c>
      <c r="E60" s="117" t="s">
        <v>1664</v>
      </c>
      <c r="F60" s="118" t="s">
        <v>1768</v>
      </c>
      <c r="G60" s="117" t="s">
        <v>622</v>
      </c>
      <c r="H60" s="103" t="s">
        <v>1078</v>
      </c>
      <c r="I60" s="103" t="s">
        <v>1373</v>
      </c>
      <c r="R60" s="114"/>
      <c r="U60" s="114">
        <v>3</v>
      </c>
    </row>
    <row r="61" spans="1:21">
      <c r="A61" s="128" t="s">
        <v>926</v>
      </c>
      <c r="B61" s="114">
        <v>6</v>
      </c>
      <c r="C61" s="114">
        <v>3</v>
      </c>
      <c r="D61" t="s">
        <v>603</v>
      </c>
      <c r="E61" s="117" t="s">
        <v>1433</v>
      </c>
      <c r="F61" s="117" t="s">
        <v>785</v>
      </c>
      <c r="G61" s="117" t="s">
        <v>1850</v>
      </c>
      <c r="H61" s="103" t="s">
        <v>1851</v>
      </c>
      <c r="I61" s="103" t="s">
        <v>1494</v>
      </c>
      <c r="R61" s="114"/>
      <c r="U61" s="114">
        <v>4</v>
      </c>
    </row>
    <row r="62" spans="1:21">
      <c r="A62" s="128" t="s">
        <v>527</v>
      </c>
      <c r="B62" s="114">
        <v>6</v>
      </c>
      <c r="C62" s="114">
        <v>3</v>
      </c>
      <c r="D62" t="s">
        <v>603</v>
      </c>
      <c r="E62" s="117" t="s">
        <v>1433</v>
      </c>
      <c r="F62" s="117" t="s">
        <v>785</v>
      </c>
      <c r="G62" s="117" t="s">
        <v>1850</v>
      </c>
      <c r="H62" s="103" t="s">
        <v>1851</v>
      </c>
      <c r="I62" s="103" t="s">
        <v>1494</v>
      </c>
      <c r="R62" s="114"/>
      <c r="U62" s="114">
        <v>5</v>
      </c>
    </row>
    <row r="63" spans="1:21">
      <c r="A63" s="128" t="s">
        <v>1323</v>
      </c>
      <c r="B63" s="114">
        <v>6</v>
      </c>
      <c r="C63" s="114">
        <v>3</v>
      </c>
      <c r="D63" t="s">
        <v>603</v>
      </c>
      <c r="E63" s="117" t="s">
        <v>1433</v>
      </c>
      <c r="F63" s="117" t="s">
        <v>785</v>
      </c>
      <c r="G63" s="117" t="s">
        <v>1850</v>
      </c>
      <c r="H63" s="103" t="s">
        <v>1851</v>
      </c>
      <c r="I63" s="103" t="s">
        <v>1494</v>
      </c>
      <c r="R63" s="114"/>
      <c r="U63" s="114">
        <v>5</v>
      </c>
    </row>
    <row r="64" spans="1:21">
      <c r="A64" s="128" t="s">
        <v>1135</v>
      </c>
      <c r="B64" s="114">
        <v>7</v>
      </c>
      <c r="C64" s="114">
        <v>3</v>
      </c>
      <c r="D64" t="s">
        <v>603</v>
      </c>
      <c r="E64" s="117" t="s">
        <v>1433</v>
      </c>
      <c r="F64" s="117" t="s">
        <v>785</v>
      </c>
      <c r="G64" s="117" t="s">
        <v>1850</v>
      </c>
      <c r="H64" s="103" t="s">
        <v>1851</v>
      </c>
      <c r="I64" s="103" t="s">
        <v>1494</v>
      </c>
      <c r="R64" s="114"/>
      <c r="U64" s="114">
        <v>5</v>
      </c>
    </row>
    <row r="65" spans="1:21">
      <c r="A65" s="128" t="s">
        <v>1897</v>
      </c>
      <c r="B65" s="114">
        <v>7</v>
      </c>
      <c r="C65" s="114">
        <v>3</v>
      </c>
      <c r="D65" t="s">
        <v>603</v>
      </c>
      <c r="E65" s="117" t="s">
        <v>1433</v>
      </c>
      <c r="F65" s="117" t="s">
        <v>785</v>
      </c>
      <c r="G65" s="117" t="s">
        <v>1850</v>
      </c>
      <c r="H65" s="103" t="s">
        <v>1851</v>
      </c>
      <c r="I65" s="103" t="s">
        <v>1494</v>
      </c>
      <c r="R65" s="114"/>
      <c r="U65" s="114">
        <v>6</v>
      </c>
    </row>
    <row r="66" spans="1:21">
      <c r="A66" t="s">
        <v>1594</v>
      </c>
      <c r="B66" s="103">
        <v>20</v>
      </c>
      <c r="C66" s="103">
        <v>0</v>
      </c>
      <c r="D66" s="103" t="s">
        <v>1320</v>
      </c>
      <c r="E66" s="103" t="s">
        <v>803</v>
      </c>
      <c r="F66" s="117" t="s">
        <v>1152</v>
      </c>
      <c r="G66" s="117" t="s">
        <v>1507</v>
      </c>
      <c r="H66" s="103" t="s">
        <v>1000</v>
      </c>
      <c r="I66" s="103" t="s">
        <v>1217</v>
      </c>
      <c r="R66" s="114"/>
      <c r="U66" s="114">
        <v>6</v>
      </c>
    </row>
    <row r="67" spans="1:21">
      <c r="A67" t="s">
        <v>953</v>
      </c>
      <c r="B67" s="103">
        <v>15</v>
      </c>
      <c r="C67" s="103">
        <v>0</v>
      </c>
      <c r="D67" s="103" t="s">
        <v>1320</v>
      </c>
      <c r="E67" s="103" t="s">
        <v>803</v>
      </c>
      <c r="F67" s="117" t="s">
        <v>518</v>
      </c>
      <c r="G67" s="117" t="s">
        <v>1010</v>
      </c>
      <c r="H67" s="103" t="s">
        <v>1623</v>
      </c>
      <c r="I67" s="103" t="s">
        <v>1258</v>
      </c>
      <c r="U67" s="103">
        <v>20</v>
      </c>
    </row>
    <row r="68" spans="1:21">
      <c r="A68" t="s">
        <v>1698</v>
      </c>
      <c r="B68" s="103">
        <v>8</v>
      </c>
      <c r="C68" s="103">
        <v>7</v>
      </c>
      <c r="D68" s="103" t="s">
        <v>1878</v>
      </c>
      <c r="E68" s="117" t="s">
        <v>1046</v>
      </c>
      <c r="F68" s="117" t="s">
        <v>623</v>
      </c>
      <c r="G68" s="117" t="s">
        <v>518</v>
      </c>
      <c r="H68" s="103" t="s">
        <v>1047</v>
      </c>
      <c r="I68" s="103" t="s">
        <v>1882</v>
      </c>
      <c r="U68" s="103">
        <v>15</v>
      </c>
    </row>
    <row r="69" spans="1:21">
      <c r="A69" t="s">
        <v>1879</v>
      </c>
      <c r="B69" s="103">
        <v>11</v>
      </c>
      <c r="C69" s="103">
        <v>2</v>
      </c>
      <c r="D69" s="103" t="s">
        <v>952</v>
      </c>
      <c r="E69" s="103" t="s">
        <v>803</v>
      </c>
      <c r="F69" s="117" t="s">
        <v>1152</v>
      </c>
      <c r="G69" s="117" t="s">
        <v>1153</v>
      </c>
      <c r="H69" s="103" t="s">
        <v>1211</v>
      </c>
      <c r="I69" s="103" t="s">
        <v>1155</v>
      </c>
      <c r="U69" s="103">
        <v>8</v>
      </c>
    </row>
    <row r="70" spans="1:21">
      <c r="A70" s="102" t="s">
        <v>1084</v>
      </c>
      <c r="B70" s="114">
        <v>1</v>
      </c>
      <c r="C70" s="114">
        <v>18</v>
      </c>
      <c r="D70" t="s">
        <v>425</v>
      </c>
      <c r="E70" s="117" t="s">
        <v>1664</v>
      </c>
      <c r="F70" s="118" t="s">
        <v>1768</v>
      </c>
      <c r="G70" s="117" t="s">
        <v>622</v>
      </c>
      <c r="H70" s="103" t="s">
        <v>1078</v>
      </c>
      <c r="I70" s="103" t="s">
        <v>1873</v>
      </c>
      <c r="U70" s="103">
        <v>11</v>
      </c>
    </row>
    <row r="71" spans="1:21">
      <c r="A71" s="102" t="s">
        <v>420</v>
      </c>
      <c r="B71" s="114">
        <v>3</v>
      </c>
      <c r="C71" s="114">
        <v>17</v>
      </c>
      <c r="D71" t="s">
        <v>425</v>
      </c>
      <c r="E71" s="117" t="s">
        <v>1664</v>
      </c>
      <c r="F71" s="118" t="s">
        <v>1768</v>
      </c>
      <c r="G71" s="117" t="s">
        <v>622</v>
      </c>
      <c r="H71" s="103" t="s">
        <v>1078</v>
      </c>
      <c r="I71" s="103" t="s">
        <v>1873</v>
      </c>
      <c r="R71" s="114"/>
      <c r="U71" s="114">
        <v>1</v>
      </c>
    </row>
    <row r="72" spans="1:21">
      <c r="A72" s="102" t="s">
        <v>1151</v>
      </c>
      <c r="B72" s="114">
        <v>4</v>
      </c>
      <c r="C72" s="114">
        <v>15</v>
      </c>
      <c r="D72" t="s">
        <v>425</v>
      </c>
      <c r="E72" s="117" t="s">
        <v>1664</v>
      </c>
      <c r="F72" s="118" t="s">
        <v>1768</v>
      </c>
      <c r="G72" s="117" t="s">
        <v>622</v>
      </c>
      <c r="H72" s="103" t="s">
        <v>1078</v>
      </c>
      <c r="I72" s="103" t="s">
        <v>1373</v>
      </c>
      <c r="R72" s="114"/>
      <c r="U72" s="114">
        <v>3</v>
      </c>
    </row>
    <row r="73" spans="1:21">
      <c r="A73" s="102" t="s">
        <v>546</v>
      </c>
      <c r="B73" s="114">
        <v>6</v>
      </c>
      <c r="C73" s="114">
        <v>15</v>
      </c>
      <c r="D73" t="s">
        <v>425</v>
      </c>
      <c r="E73" s="117" t="s">
        <v>1664</v>
      </c>
      <c r="F73" s="118" t="s">
        <v>1768</v>
      </c>
      <c r="G73" s="117" t="s">
        <v>622</v>
      </c>
      <c r="H73" s="103" t="s">
        <v>1078</v>
      </c>
      <c r="I73" s="103" t="s">
        <v>1373</v>
      </c>
      <c r="R73" s="114"/>
      <c r="U73" s="114">
        <v>4</v>
      </c>
    </row>
    <row r="74" spans="1:21">
      <c r="A74" s="102" t="s">
        <v>2017</v>
      </c>
      <c r="B74" s="114">
        <v>7</v>
      </c>
      <c r="C74" s="114">
        <v>11</v>
      </c>
      <c r="D74" t="s">
        <v>425</v>
      </c>
      <c r="E74" s="117" t="s">
        <v>1664</v>
      </c>
      <c r="F74" s="118" t="s">
        <v>1768</v>
      </c>
      <c r="G74" s="117" t="s">
        <v>1434</v>
      </c>
      <c r="H74" s="103" t="s">
        <v>1032</v>
      </c>
      <c r="I74" s="103" t="s">
        <v>1044</v>
      </c>
      <c r="R74" s="114"/>
      <c r="U74" s="114">
        <v>6</v>
      </c>
    </row>
    <row r="75" spans="1:21">
      <c r="A75" s="102" t="s">
        <v>2018</v>
      </c>
      <c r="B75" s="114">
        <v>9</v>
      </c>
      <c r="C75" s="114">
        <v>11</v>
      </c>
      <c r="D75" t="s">
        <v>425</v>
      </c>
      <c r="E75" s="117" t="s">
        <v>1664</v>
      </c>
      <c r="F75" s="118" t="s">
        <v>1768</v>
      </c>
      <c r="G75" s="117" t="s">
        <v>1434</v>
      </c>
      <c r="H75" s="103" t="s">
        <v>1032</v>
      </c>
      <c r="I75" s="103" t="s">
        <v>1044</v>
      </c>
      <c r="R75" s="114"/>
      <c r="U75" s="114">
        <v>7</v>
      </c>
    </row>
    <row r="76" spans="1:21">
      <c r="A76" s="102" t="s">
        <v>1711</v>
      </c>
      <c r="B76" s="114">
        <v>3</v>
      </c>
      <c r="C76" s="114">
        <v>5</v>
      </c>
      <c r="D76" t="s">
        <v>602</v>
      </c>
      <c r="E76" s="117" t="s">
        <v>1433</v>
      </c>
      <c r="F76" s="117" t="s">
        <v>622</v>
      </c>
      <c r="G76" s="117" t="s">
        <v>1565</v>
      </c>
      <c r="H76" s="103" t="s">
        <v>1210</v>
      </c>
      <c r="I76" s="103" t="s">
        <v>1211</v>
      </c>
      <c r="R76" s="114"/>
      <c r="U76" s="114">
        <v>9</v>
      </c>
    </row>
    <row r="77" spans="1:21">
      <c r="A77" s="102" t="s">
        <v>1719</v>
      </c>
      <c r="B77" s="114">
        <v>5</v>
      </c>
      <c r="C77" s="114">
        <v>5</v>
      </c>
      <c r="D77" t="s">
        <v>602</v>
      </c>
      <c r="E77" s="117" t="s">
        <v>1433</v>
      </c>
      <c r="F77" s="117" t="s">
        <v>622</v>
      </c>
      <c r="G77" s="117" t="s">
        <v>1565</v>
      </c>
      <c r="H77" s="103" t="s">
        <v>1210</v>
      </c>
      <c r="I77" s="103" t="s">
        <v>1211</v>
      </c>
      <c r="R77" s="114"/>
      <c r="U77" s="114">
        <v>3</v>
      </c>
    </row>
    <row r="78" spans="1:21">
      <c r="A78" s="102" t="s">
        <v>1720</v>
      </c>
      <c r="B78" s="114">
        <v>7</v>
      </c>
      <c r="C78" s="114">
        <v>5</v>
      </c>
      <c r="D78" t="s">
        <v>602</v>
      </c>
      <c r="E78" s="117" t="s">
        <v>1433</v>
      </c>
      <c r="F78" s="117" t="s">
        <v>622</v>
      </c>
      <c r="G78" s="117" t="s">
        <v>1565</v>
      </c>
      <c r="H78" s="103" t="s">
        <v>1210</v>
      </c>
      <c r="I78" s="103" t="s">
        <v>1211</v>
      </c>
      <c r="R78" s="114"/>
      <c r="U78" s="114">
        <v>5</v>
      </c>
    </row>
    <row r="79" spans="1:21">
      <c r="A79" s="102" t="s">
        <v>1806</v>
      </c>
      <c r="B79" s="114">
        <v>9</v>
      </c>
      <c r="C79" s="114">
        <v>5</v>
      </c>
      <c r="D79" t="s">
        <v>602</v>
      </c>
      <c r="E79" s="117" t="s">
        <v>1433</v>
      </c>
      <c r="F79" s="117" t="s">
        <v>622</v>
      </c>
      <c r="G79" s="117" t="s">
        <v>1565</v>
      </c>
      <c r="H79" s="103" t="s">
        <v>1210</v>
      </c>
      <c r="I79" s="103" t="s">
        <v>1211</v>
      </c>
      <c r="R79" s="114"/>
      <c r="U79" s="114">
        <v>7</v>
      </c>
    </row>
    <row r="80" spans="1:21">
      <c r="A80" s="102" t="s">
        <v>1965</v>
      </c>
      <c r="B80" s="114">
        <v>10</v>
      </c>
      <c r="C80" s="114">
        <v>5</v>
      </c>
      <c r="D80" t="s">
        <v>602</v>
      </c>
      <c r="E80" s="117" t="s">
        <v>1433</v>
      </c>
      <c r="F80" s="117" t="s">
        <v>622</v>
      </c>
      <c r="G80" s="117" t="s">
        <v>1565</v>
      </c>
      <c r="H80" s="103" t="s">
        <v>1210</v>
      </c>
      <c r="I80" s="103" t="s">
        <v>1211</v>
      </c>
      <c r="R80" s="114"/>
      <c r="U80" s="114">
        <v>9</v>
      </c>
    </row>
    <row r="81" spans="1:21">
      <c r="A81" s="102" t="s">
        <v>1977</v>
      </c>
      <c r="B81" s="114">
        <v>11</v>
      </c>
      <c r="C81" s="114">
        <v>5</v>
      </c>
      <c r="D81" t="s">
        <v>602</v>
      </c>
      <c r="E81" s="117" t="s">
        <v>1433</v>
      </c>
      <c r="F81" s="117" t="s">
        <v>622</v>
      </c>
      <c r="G81" s="117" t="s">
        <v>1565</v>
      </c>
      <c r="H81" s="103" t="s">
        <v>1210</v>
      </c>
      <c r="I81" s="103" t="s">
        <v>1211</v>
      </c>
      <c r="R81" s="114"/>
      <c r="U81" s="114">
        <v>10</v>
      </c>
    </row>
    <row r="82" spans="1:21">
      <c r="A82" s="102" t="s">
        <v>1455</v>
      </c>
      <c r="B82" s="114">
        <v>0</v>
      </c>
      <c r="C82" s="114">
        <v>0</v>
      </c>
      <c r="D82" t="s">
        <v>956</v>
      </c>
      <c r="E82" s="103">
        <v>0</v>
      </c>
      <c r="F82" s="117" t="s">
        <v>1619</v>
      </c>
      <c r="G82" s="117" t="s">
        <v>1153</v>
      </c>
      <c r="H82" s="103" t="s">
        <v>487</v>
      </c>
      <c r="I82" s="103" t="s">
        <v>1494</v>
      </c>
      <c r="R82" s="114"/>
      <c r="U82" s="114">
        <v>11</v>
      </c>
    </row>
    <row r="83" spans="1:21">
      <c r="A83" s="128" t="s">
        <v>924</v>
      </c>
      <c r="B83" s="114">
        <v>10</v>
      </c>
      <c r="C83" s="114">
        <v>0</v>
      </c>
      <c r="D83" t="s">
        <v>880</v>
      </c>
      <c r="E83" s="103" t="s">
        <v>803</v>
      </c>
      <c r="F83" s="117" t="s">
        <v>518</v>
      </c>
      <c r="G83" s="117" t="s">
        <v>1010</v>
      </c>
      <c r="H83" s="103" t="s">
        <v>1623</v>
      </c>
      <c r="I83" s="103" t="s">
        <v>1258</v>
      </c>
      <c r="R83" s="114"/>
      <c r="U83" s="114"/>
    </row>
    <row r="84" spans="1:21">
      <c r="A84" s="128" t="s">
        <v>1709</v>
      </c>
      <c r="B84" s="114">
        <v>11</v>
      </c>
      <c r="C84" s="114">
        <v>0</v>
      </c>
      <c r="D84" t="s">
        <v>1081</v>
      </c>
      <c r="E84" s="103" t="s">
        <v>803</v>
      </c>
      <c r="F84" s="117" t="s">
        <v>518</v>
      </c>
      <c r="G84" s="117" t="s">
        <v>1470</v>
      </c>
      <c r="H84" s="103" t="s">
        <v>944</v>
      </c>
      <c r="I84" s="103" t="s">
        <v>1494</v>
      </c>
      <c r="R84" s="114"/>
      <c r="U84" s="114">
        <v>9</v>
      </c>
    </row>
    <row r="85" spans="1:21">
      <c r="A85" s="128" t="s">
        <v>1712</v>
      </c>
      <c r="B85" s="114">
        <v>12</v>
      </c>
      <c r="C85" s="114">
        <v>0</v>
      </c>
      <c r="D85" t="s">
        <v>1081</v>
      </c>
      <c r="E85" s="103" t="s">
        <v>803</v>
      </c>
      <c r="F85" s="117" t="s">
        <v>518</v>
      </c>
      <c r="G85" s="117" t="s">
        <v>1470</v>
      </c>
      <c r="H85" s="103" t="s">
        <v>944</v>
      </c>
      <c r="I85" s="103" t="s">
        <v>1494</v>
      </c>
      <c r="R85" s="114"/>
      <c r="U85" s="114">
        <v>10</v>
      </c>
    </row>
    <row r="86" spans="1:21">
      <c r="A86" s="128" t="s">
        <v>955</v>
      </c>
      <c r="B86" s="114">
        <v>12</v>
      </c>
      <c r="C86" s="114">
        <v>0</v>
      </c>
      <c r="D86" t="s">
        <v>880</v>
      </c>
      <c r="E86" s="103" t="s">
        <v>803</v>
      </c>
      <c r="F86" s="117" t="s">
        <v>518</v>
      </c>
      <c r="G86" s="117" t="s">
        <v>1010</v>
      </c>
      <c r="H86" s="103" t="s">
        <v>1623</v>
      </c>
      <c r="I86" s="103" t="s">
        <v>1258</v>
      </c>
      <c r="R86" s="114"/>
      <c r="U86" s="114">
        <v>11</v>
      </c>
    </row>
    <row r="87" spans="1:21">
      <c r="A87" s="128" t="s">
        <v>822</v>
      </c>
      <c r="B87" s="114">
        <v>10</v>
      </c>
      <c r="C87" s="114">
        <v>0</v>
      </c>
      <c r="D87" t="s">
        <v>880</v>
      </c>
      <c r="E87" s="103" t="s">
        <v>803</v>
      </c>
      <c r="F87" s="117" t="s">
        <v>518</v>
      </c>
      <c r="G87" s="117" t="s">
        <v>1010</v>
      </c>
      <c r="H87" s="103" t="s">
        <v>1623</v>
      </c>
      <c r="I87" s="103" t="s">
        <v>1258</v>
      </c>
      <c r="R87" s="114"/>
      <c r="U87" s="114">
        <v>11</v>
      </c>
    </row>
    <row r="88" spans="1:21">
      <c r="A88" t="s">
        <v>627</v>
      </c>
      <c r="B88" s="103">
        <v>6</v>
      </c>
      <c r="C88" s="114">
        <v>6</v>
      </c>
      <c r="D88" s="103" t="s">
        <v>1161</v>
      </c>
      <c r="E88" s="117" t="s">
        <v>1664</v>
      </c>
      <c r="F88" s="118" t="s">
        <v>1768</v>
      </c>
      <c r="G88" s="117" t="s">
        <v>1434</v>
      </c>
      <c r="H88" s="103" t="s">
        <v>1032</v>
      </c>
      <c r="I88" s="103" t="s">
        <v>1044</v>
      </c>
      <c r="R88" s="114"/>
      <c r="U88" s="114">
        <v>9</v>
      </c>
    </row>
    <row r="89" spans="1:21">
      <c r="A89" t="s">
        <v>772</v>
      </c>
      <c r="B89" s="103">
        <v>8</v>
      </c>
      <c r="C89" s="114">
        <v>2</v>
      </c>
      <c r="D89" s="103" t="s">
        <v>1299</v>
      </c>
      <c r="E89" s="117" t="s">
        <v>1433</v>
      </c>
      <c r="F89" s="117" t="s">
        <v>1418</v>
      </c>
      <c r="G89" s="117" t="s">
        <v>1769</v>
      </c>
      <c r="H89" s="103" t="s">
        <v>1682</v>
      </c>
      <c r="I89" s="103" t="s">
        <v>1153</v>
      </c>
      <c r="R89" s="114"/>
      <c r="U89" s="114"/>
    </row>
    <row r="90" spans="1:21">
      <c r="A90" s="128" t="s">
        <v>1395</v>
      </c>
      <c r="B90" s="103">
        <v>0</v>
      </c>
      <c r="C90" s="114">
        <v>0</v>
      </c>
      <c r="D90" s="103" t="s">
        <v>1085</v>
      </c>
      <c r="E90" s="103">
        <v>0</v>
      </c>
      <c r="F90" s="117" t="s">
        <v>1619</v>
      </c>
      <c r="G90" s="117" t="s">
        <v>1153</v>
      </c>
      <c r="H90" s="103" t="s">
        <v>487</v>
      </c>
      <c r="I90" s="103" t="s">
        <v>1494</v>
      </c>
      <c r="R90" s="114"/>
      <c r="U90" s="114"/>
    </row>
    <row r="91" spans="1:21">
      <c r="A91" s="128" t="s">
        <v>609</v>
      </c>
      <c r="B91" s="114">
        <v>2</v>
      </c>
      <c r="C91" s="114">
        <v>18</v>
      </c>
      <c r="D91" t="s">
        <v>956</v>
      </c>
      <c r="E91" s="117" t="s">
        <v>1664</v>
      </c>
      <c r="F91" s="118" t="s">
        <v>1768</v>
      </c>
      <c r="G91" s="117" t="s">
        <v>622</v>
      </c>
      <c r="H91" s="103" t="s">
        <v>1078</v>
      </c>
      <c r="I91" s="103" t="s">
        <v>1873</v>
      </c>
      <c r="R91" s="114"/>
      <c r="U91" s="114"/>
    </row>
    <row r="92" spans="1:21">
      <c r="A92" s="128" t="s">
        <v>714</v>
      </c>
      <c r="B92" s="114">
        <v>2</v>
      </c>
      <c r="C92" s="114">
        <v>18</v>
      </c>
      <c r="D92" t="s">
        <v>1578</v>
      </c>
      <c r="E92" s="117" t="s">
        <v>1664</v>
      </c>
      <c r="F92" s="118" t="s">
        <v>1768</v>
      </c>
      <c r="G92" s="117" t="s">
        <v>622</v>
      </c>
      <c r="H92" s="103" t="s">
        <v>1078</v>
      </c>
      <c r="I92" s="103" t="s">
        <v>1873</v>
      </c>
      <c r="R92" s="114"/>
      <c r="U92" s="114">
        <v>1</v>
      </c>
    </row>
    <row r="93" spans="1:21">
      <c r="A93" s="128" t="s">
        <v>688</v>
      </c>
      <c r="B93" s="114">
        <v>2</v>
      </c>
      <c r="C93" s="114">
        <v>18</v>
      </c>
      <c r="D93" t="s">
        <v>1578</v>
      </c>
      <c r="E93" s="117" t="s">
        <v>1664</v>
      </c>
      <c r="F93" s="118" t="s">
        <v>1768</v>
      </c>
      <c r="G93" s="117" t="s">
        <v>622</v>
      </c>
      <c r="H93" s="103" t="s">
        <v>1078</v>
      </c>
      <c r="I93" s="103" t="s">
        <v>1873</v>
      </c>
      <c r="R93" s="114"/>
      <c r="U93" s="114">
        <v>1</v>
      </c>
    </row>
    <row r="94" spans="1:21">
      <c r="A94" s="128" t="s">
        <v>1317</v>
      </c>
      <c r="B94" s="114">
        <v>2</v>
      </c>
      <c r="C94" s="114">
        <v>18</v>
      </c>
      <c r="D94" t="s">
        <v>956</v>
      </c>
      <c r="E94" s="117" t="s">
        <v>1664</v>
      </c>
      <c r="F94" s="118" t="s">
        <v>1768</v>
      </c>
      <c r="G94" s="117" t="s">
        <v>622</v>
      </c>
      <c r="H94" s="103" t="s">
        <v>1078</v>
      </c>
      <c r="I94" s="103" t="s">
        <v>1873</v>
      </c>
      <c r="R94" s="114"/>
      <c r="U94" s="114">
        <v>1</v>
      </c>
    </row>
    <row r="95" spans="1:21">
      <c r="A95" s="128" t="s">
        <v>652</v>
      </c>
      <c r="B95" s="114">
        <v>2</v>
      </c>
      <c r="C95" s="114">
        <v>18</v>
      </c>
      <c r="D95" t="s">
        <v>1578</v>
      </c>
      <c r="E95" s="117" t="s">
        <v>1664</v>
      </c>
      <c r="F95" s="118" t="s">
        <v>1768</v>
      </c>
      <c r="G95" s="117" t="s">
        <v>622</v>
      </c>
      <c r="H95" s="103" t="s">
        <v>1078</v>
      </c>
      <c r="I95" s="103" t="s">
        <v>1873</v>
      </c>
      <c r="R95" s="114"/>
      <c r="U95" s="114">
        <v>1</v>
      </c>
    </row>
    <row r="96" spans="1:21">
      <c r="A96" s="128" t="s">
        <v>1378</v>
      </c>
      <c r="B96" s="114">
        <v>3</v>
      </c>
      <c r="C96" s="114">
        <v>18</v>
      </c>
      <c r="D96" t="s">
        <v>1578</v>
      </c>
      <c r="E96" s="117" t="s">
        <v>1664</v>
      </c>
      <c r="F96" s="118" t="s">
        <v>1768</v>
      </c>
      <c r="G96" s="117" t="s">
        <v>622</v>
      </c>
      <c r="H96" s="103" t="s">
        <v>1078</v>
      </c>
      <c r="I96" s="103" t="s">
        <v>1873</v>
      </c>
      <c r="R96" s="114"/>
      <c r="U96" s="114">
        <v>1</v>
      </c>
    </row>
    <row r="97" spans="1:21">
      <c r="A97" s="128" t="s">
        <v>2056</v>
      </c>
      <c r="B97" s="114">
        <v>2</v>
      </c>
      <c r="C97" s="114">
        <v>18</v>
      </c>
      <c r="D97" t="s">
        <v>1578</v>
      </c>
      <c r="E97" s="117" t="s">
        <v>1664</v>
      </c>
      <c r="F97" s="118" t="s">
        <v>1768</v>
      </c>
      <c r="G97" s="117" t="s">
        <v>622</v>
      </c>
      <c r="H97" s="103" t="s">
        <v>1078</v>
      </c>
      <c r="I97" s="103" t="s">
        <v>1873</v>
      </c>
      <c r="R97" s="114"/>
      <c r="U97" s="114">
        <v>2</v>
      </c>
    </row>
    <row r="98" spans="1:21">
      <c r="A98" s="128" t="s">
        <v>1547</v>
      </c>
      <c r="B98" s="114">
        <v>2</v>
      </c>
      <c r="C98" s="114">
        <v>18</v>
      </c>
      <c r="D98" t="s">
        <v>956</v>
      </c>
      <c r="E98" s="117" t="s">
        <v>1664</v>
      </c>
      <c r="F98" s="118" t="s">
        <v>1768</v>
      </c>
      <c r="G98" s="117" t="s">
        <v>622</v>
      </c>
      <c r="H98" s="103" t="s">
        <v>1078</v>
      </c>
      <c r="I98" s="103" t="s">
        <v>1873</v>
      </c>
      <c r="R98" s="114"/>
      <c r="U98" s="114">
        <v>1</v>
      </c>
    </row>
    <row r="99" spans="1:21">
      <c r="A99" s="128" t="s">
        <v>1321</v>
      </c>
      <c r="B99" s="114">
        <v>4</v>
      </c>
      <c r="C99" s="114">
        <v>18</v>
      </c>
      <c r="D99" t="s">
        <v>525</v>
      </c>
      <c r="E99" s="117" t="s">
        <v>1664</v>
      </c>
      <c r="F99" s="118" t="s">
        <v>1768</v>
      </c>
      <c r="G99" s="117" t="s">
        <v>622</v>
      </c>
      <c r="H99" s="103" t="s">
        <v>1078</v>
      </c>
      <c r="I99" s="103" t="s">
        <v>1373</v>
      </c>
      <c r="R99" s="114"/>
      <c r="U99" s="114">
        <v>1</v>
      </c>
    </row>
    <row r="100" spans="1:21">
      <c r="A100" s="128" t="s">
        <v>933</v>
      </c>
      <c r="B100" s="114">
        <v>2</v>
      </c>
      <c r="C100" s="114">
        <v>18</v>
      </c>
      <c r="D100" t="s">
        <v>956</v>
      </c>
      <c r="E100" s="117" t="s">
        <v>1664</v>
      </c>
      <c r="F100" s="118" t="s">
        <v>1768</v>
      </c>
      <c r="G100" s="117" t="s">
        <v>622</v>
      </c>
      <c r="H100" s="103" t="s">
        <v>1078</v>
      </c>
      <c r="I100" s="103" t="s">
        <v>1873</v>
      </c>
      <c r="R100" s="114"/>
      <c r="U100" s="114">
        <v>3</v>
      </c>
    </row>
    <row r="101" spans="1:21">
      <c r="A101" s="128" t="s">
        <v>802</v>
      </c>
      <c r="B101" s="114">
        <v>3</v>
      </c>
      <c r="C101" s="114">
        <v>18</v>
      </c>
      <c r="D101" t="s">
        <v>956</v>
      </c>
      <c r="E101" s="117" t="s">
        <v>1664</v>
      </c>
      <c r="F101" s="118" t="s">
        <v>1768</v>
      </c>
      <c r="G101" s="117" t="s">
        <v>622</v>
      </c>
      <c r="H101" s="103" t="s">
        <v>1078</v>
      </c>
      <c r="I101" s="103" t="s">
        <v>1373</v>
      </c>
      <c r="R101" s="114"/>
      <c r="U101" s="114">
        <v>1</v>
      </c>
    </row>
    <row r="102" spans="1:21">
      <c r="A102" s="128" t="s">
        <v>651</v>
      </c>
      <c r="B102" s="114">
        <v>2</v>
      </c>
      <c r="C102" s="114">
        <v>15</v>
      </c>
      <c r="D102" t="s">
        <v>956</v>
      </c>
      <c r="E102" s="117" t="s">
        <v>1664</v>
      </c>
      <c r="F102" s="118" t="s">
        <v>1768</v>
      </c>
      <c r="G102" s="117" t="s">
        <v>622</v>
      </c>
      <c r="H102" s="103" t="s">
        <v>1078</v>
      </c>
      <c r="I102" s="103" t="s">
        <v>1873</v>
      </c>
      <c r="R102" s="114"/>
      <c r="U102" s="114">
        <v>2</v>
      </c>
    </row>
    <row r="103" spans="1:21">
      <c r="A103" s="128" t="s">
        <v>964</v>
      </c>
      <c r="B103" s="114">
        <v>3</v>
      </c>
      <c r="C103" s="114">
        <v>15</v>
      </c>
      <c r="D103" t="s">
        <v>956</v>
      </c>
      <c r="E103" s="117" t="s">
        <v>1664</v>
      </c>
      <c r="F103" s="118" t="s">
        <v>1768</v>
      </c>
      <c r="G103" s="117" t="s">
        <v>622</v>
      </c>
      <c r="H103" s="103" t="s">
        <v>1078</v>
      </c>
      <c r="I103" s="103" t="s">
        <v>1373</v>
      </c>
      <c r="R103" s="114"/>
      <c r="U103" s="114">
        <v>1</v>
      </c>
    </row>
    <row r="104" spans="1:21">
      <c r="A104" s="128" t="s">
        <v>540</v>
      </c>
      <c r="B104" s="114">
        <v>2</v>
      </c>
      <c r="C104" s="114">
        <v>15</v>
      </c>
      <c r="D104" t="s">
        <v>956</v>
      </c>
      <c r="E104" s="117" t="s">
        <v>1664</v>
      </c>
      <c r="F104" s="118" t="s">
        <v>1768</v>
      </c>
      <c r="G104" s="117" t="s">
        <v>622</v>
      </c>
      <c r="H104" s="103" t="s">
        <v>1078</v>
      </c>
      <c r="I104" s="103" t="s">
        <v>1873</v>
      </c>
      <c r="R104" s="114"/>
      <c r="U104" s="114">
        <v>2</v>
      </c>
    </row>
    <row r="105" spans="1:21">
      <c r="A105" s="128" t="s">
        <v>1601</v>
      </c>
      <c r="B105" s="114">
        <v>2</v>
      </c>
      <c r="C105" s="114">
        <v>15</v>
      </c>
      <c r="D105" t="s">
        <v>1578</v>
      </c>
      <c r="E105" s="117" t="s">
        <v>1664</v>
      </c>
      <c r="F105" s="118" t="s">
        <v>1768</v>
      </c>
      <c r="G105" s="117" t="s">
        <v>622</v>
      </c>
      <c r="H105" s="103" t="s">
        <v>1078</v>
      </c>
      <c r="I105" s="103" t="s">
        <v>1873</v>
      </c>
      <c r="R105" s="114"/>
      <c r="U105" s="114">
        <v>1</v>
      </c>
    </row>
    <row r="106" spans="1:21">
      <c r="A106" s="128" t="s">
        <v>1602</v>
      </c>
      <c r="B106" s="114">
        <v>2</v>
      </c>
      <c r="C106" s="114">
        <v>15</v>
      </c>
      <c r="D106" t="s">
        <v>1578</v>
      </c>
      <c r="E106" s="117" t="s">
        <v>1664</v>
      </c>
      <c r="F106" s="118" t="s">
        <v>1768</v>
      </c>
      <c r="G106" s="117" t="s">
        <v>622</v>
      </c>
      <c r="H106" s="103" t="s">
        <v>1078</v>
      </c>
      <c r="I106" s="103" t="s">
        <v>1873</v>
      </c>
      <c r="R106" s="114"/>
      <c r="U106" s="114">
        <v>1</v>
      </c>
    </row>
    <row r="107" spans="1:21">
      <c r="A107" s="128" t="s">
        <v>1605</v>
      </c>
      <c r="B107" s="114">
        <v>2</v>
      </c>
      <c r="C107" s="114">
        <v>15</v>
      </c>
      <c r="D107" t="s">
        <v>1578</v>
      </c>
      <c r="E107" s="117" t="s">
        <v>1664</v>
      </c>
      <c r="F107" s="118" t="s">
        <v>1768</v>
      </c>
      <c r="G107" s="117" t="s">
        <v>622</v>
      </c>
      <c r="H107" s="103" t="s">
        <v>1078</v>
      </c>
      <c r="I107" s="103" t="s">
        <v>1873</v>
      </c>
      <c r="R107" s="114"/>
      <c r="U107" s="114">
        <v>1</v>
      </c>
    </row>
    <row r="108" spans="1:21">
      <c r="A108" s="128" t="s">
        <v>900</v>
      </c>
      <c r="B108" s="114">
        <v>4</v>
      </c>
      <c r="C108" s="114">
        <v>11</v>
      </c>
      <c r="D108" t="s">
        <v>1578</v>
      </c>
      <c r="E108" s="117" t="s">
        <v>1664</v>
      </c>
      <c r="F108" s="118" t="s">
        <v>1768</v>
      </c>
      <c r="G108" s="117" t="s">
        <v>1434</v>
      </c>
      <c r="H108" s="103" t="s">
        <v>1032</v>
      </c>
      <c r="I108" s="103" t="s">
        <v>1044</v>
      </c>
      <c r="R108" s="114"/>
      <c r="U108" s="114">
        <v>1</v>
      </c>
    </row>
    <row r="109" spans="1:21">
      <c r="A109" s="128" t="s">
        <v>901</v>
      </c>
      <c r="B109" s="114">
        <v>2</v>
      </c>
      <c r="C109" s="114">
        <v>15</v>
      </c>
      <c r="D109" t="s">
        <v>1578</v>
      </c>
      <c r="E109" s="117" t="s">
        <v>1664</v>
      </c>
      <c r="F109" s="118" t="s">
        <v>1768</v>
      </c>
      <c r="G109" s="117" t="s">
        <v>622</v>
      </c>
      <c r="H109" s="103" t="s">
        <v>1078</v>
      </c>
      <c r="I109" s="103" t="s">
        <v>1373</v>
      </c>
      <c r="R109" s="114"/>
      <c r="U109" s="114">
        <v>3</v>
      </c>
    </row>
    <row r="110" spans="1:21">
      <c r="A110" s="128" t="s">
        <v>902</v>
      </c>
      <c r="B110" s="114">
        <v>2</v>
      </c>
      <c r="C110" s="114">
        <v>15</v>
      </c>
      <c r="D110" t="s">
        <v>1578</v>
      </c>
      <c r="E110" s="117" t="s">
        <v>1664</v>
      </c>
      <c r="F110" s="118" t="s">
        <v>1768</v>
      </c>
      <c r="G110" s="117" t="s">
        <v>622</v>
      </c>
      <c r="H110" s="103" t="s">
        <v>1078</v>
      </c>
      <c r="I110" s="103" t="s">
        <v>1373</v>
      </c>
      <c r="R110" s="114"/>
      <c r="U110" s="114">
        <v>1</v>
      </c>
    </row>
    <row r="111" spans="1:21">
      <c r="A111" s="128" t="s">
        <v>888</v>
      </c>
      <c r="B111" s="114">
        <v>2</v>
      </c>
      <c r="C111" s="114">
        <v>15</v>
      </c>
      <c r="D111" t="s">
        <v>1578</v>
      </c>
      <c r="E111" s="117" t="s">
        <v>1664</v>
      </c>
      <c r="F111" s="118" t="s">
        <v>1768</v>
      </c>
      <c r="G111" s="117" t="s">
        <v>622</v>
      </c>
      <c r="H111" s="103" t="s">
        <v>1078</v>
      </c>
      <c r="I111" s="103" t="s">
        <v>1373</v>
      </c>
      <c r="R111" s="114"/>
      <c r="U111" s="114">
        <v>1</v>
      </c>
    </row>
    <row r="112" spans="1:21">
      <c r="A112" s="128" t="s">
        <v>1082</v>
      </c>
      <c r="B112" s="114">
        <v>2</v>
      </c>
      <c r="C112" s="114">
        <v>15</v>
      </c>
      <c r="D112" t="s">
        <v>956</v>
      </c>
      <c r="E112" s="117" t="s">
        <v>1664</v>
      </c>
      <c r="F112" s="118" t="s">
        <v>1768</v>
      </c>
      <c r="G112" s="117" t="s">
        <v>622</v>
      </c>
      <c r="H112" s="103" t="s">
        <v>1078</v>
      </c>
      <c r="I112" s="103" t="s">
        <v>1373</v>
      </c>
      <c r="K112" s="96"/>
      <c r="R112" s="114"/>
      <c r="U112" s="114">
        <v>1</v>
      </c>
    </row>
    <row r="113" spans="1:21">
      <c r="A113" s="128" t="s">
        <v>866</v>
      </c>
      <c r="B113" s="114">
        <v>4</v>
      </c>
      <c r="C113" s="114">
        <v>11</v>
      </c>
      <c r="D113" t="s">
        <v>956</v>
      </c>
      <c r="E113" s="117" t="s">
        <v>1664</v>
      </c>
      <c r="F113" s="118" t="s">
        <v>1768</v>
      </c>
      <c r="G113" s="117" t="s">
        <v>1434</v>
      </c>
      <c r="H113" s="103" t="s">
        <v>1032</v>
      </c>
      <c r="I113" s="103" t="s">
        <v>1044</v>
      </c>
      <c r="R113" s="114"/>
      <c r="U113" s="114">
        <v>1</v>
      </c>
    </row>
    <row r="114" spans="1:21">
      <c r="A114" s="128" t="s">
        <v>1380</v>
      </c>
      <c r="B114" s="114">
        <v>5</v>
      </c>
      <c r="C114" s="114">
        <v>11</v>
      </c>
      <c r="D114" t="s">
        <v>956</v>
      </c>
      <c r="E114" s="117" t="s">
        <v>1664</v>
      </c>
      <c r="F114" s="118" t="s">
        <v>1768</v>
      </c>
      <c r="G114" s="117" t="s">
        <v>1434</v>
      </c>
      <c r="H114" s="103" t="s">
        <v>1032</v>
      </c>
      <c r="I114" s="103" t="s">
        <v>1044</v>
      </c>
      <c r="R114" s="114"/>
      <c r="U114" s="114">
        <v>3</v>
      </c>
    </row>
    <row r="115" spans="1:21">
      <c r="A115" s="128" t="s">
        <v>733</v>
      </c>
      <c r="B115" s="114">
        <v>5</v>
      </c>
      <c r="C115" s="114">
        <v>11</v>
      </c>
      <c r="D115" t="s">
        <v>1578</v>
      </c>
      <c r="E115" s="117" t="s">
        <v>1664</v>
      </c>
      <c r="F115" s="118" t="s">
        <v>1768</v>
      </c>
      <c r="G115" s="117" t="s">
        <v>1434</v>
      </c>
      <c r="H115" s="103" t="s">
        <v>1032</v>
      </c>
      <c r="I115" s="103" t="s">
        <v>1044</v>
      </c>
      <c r="R115" s="114"/>
      <c r="U115" s="114">
        <v>4</v>
      </c>
    </row>
    <row r="116" spans="1:21">
      <c r="A116" s="128" t="s">
        <v>734</v>
      </c>
      <c r="B116" s="114">
        <v>3</v>
      </c>
      <c r="C116" s="114">
        <v>11</v>
      </c>
      <c r="D116" t="s">
        <v>1578</v>
      </c>
      <c r="E116" s="117" t="s">
        <v>1664</v>
      </c>
      <c r="F116" s="118" t="s">
        <v>1768</v>
      </c>
      <c r="G116" s="117" t="s">
        <v>1434</v>
      </c>
      <c r="H116" s="103" t="s">
        <v>1032</v>
      </c>
      <c r="I116" s="103" t="s">
        <v>1044</v>
      </c>
      <c r="R116" s="114"/>
      <c r="U116" s="114">
        <v>4</v>
      </c>
    </row>
    <row r="117" spans="1:21">
      <c r="A117" s="128" t="s">
        <v>839</v>
      </c>
      <c r="B117" s="114">
        <v>3</v>
      </c>
      <c r="C117" s="114">
        <v>11</v>
      </c>
      <c r="D117" t="s">
        <v>1578</v>
      </c>
      <c r="E117" s="117" t="s">
        <v>1664</v>
      </c>
      <c r="F117" s="118" t="s">
        <v>1768</v>
      </c>
      <c r="G117" s="117" t="s">
        <v>622</v>
      </c>
      <c r="H117" s="103" t="s">
        <v>1078</v>
      </c>
      <c r="I117" s="103" t="s">
        <v>1373</v>
      </c>
      <c r="R117" s="114"/>
      <c r="U117" s="114">
        <v>2</v>
      </c>
    </row>
    <row r="118" spans="1:21">
      <c r="A118" s="128" t="s">
        <v>918</v>
      </c>
      <c r="B118" s="114">
        <v>4</v>
      </c>
      <c r="C118" s="114">
        <v>11</v>
      </c>
      <c r="D118" t="s">
        <v>1337</v>
      </c>
      <c r="E118" s="117" t="s">
        <v>1664</v>
      </c>
      <c r="F118" s="118" t="s">
        <v>1768</v>
      </c>
      <c r="G118" s="117" t="s">
        <v>1434</v>
      </c>
      <c r="H118" s="103" t="s">
        <v>1032</v>
      </c>
      <c r="I118" s="103" t="s">
        <v>1044</v>
      </c>
      <c r="L118" s="103"/>
      <c r="M118" s="103"/>
      <c r="N118" s="103"/>
      <c r="O118" s="103"/>
      <c r="P118" s="103"/>
      <c r="R118" s="114"/>
      <c r="U118" s="114">
        <v>2</v>
      </c>
    </row>
    <row r="119" spans="1:21">
      <c r="A119" s="128" t="s">
        <v>919</v>
      </c>
      <c r="B119" s="114">
        <v>3</v>
      </c>
      <c r="C119" s="114">
        <v>11</v>
      </c>
      <c r="D119" t="s">
        <v>1578</v>
      </c>
      <c r="E119" s="117" t="s">
        <v>1664</v>
      </c>
      <c r="F119" s="118" t="s">
        <v>1768</v>
      </c>
      <c r="G119" s="117" t="s">
        <v>1434</v>
      </c>
      <c r="H119" s="103" t="s">
        <v>1032</v>
      </c>
      <c r="I119" s="103" t="s">
        <v>1044</v>
      </c>
      <c r="L119" s="117"/>
      <c r="M119" s="118"/>
      <c r="N119" s="117"/>
      <c r="O119" s="103"/>
      <c r="P119" s="103"/>
      <c r="R119" s="114"/>
      <c r="U119" s="114">
        <v>2</v>
      </c>
    </row>
    <row r="120" spans="1:21">
      <c r="A120" s="128" t="s">
        <v>965</v>
      </c>
      <c r="B120" s="114">
        <v>3</v>
      </c>
      <c r="C120" s="114">
        <v>11</v>
      </c>
      <c r="D120" t="s">
        <v>1578</v>
      </c>
      <c r="E120" s="117" t="s">
        <v>1664</v>
      </c>
      <c r="F120" s="118" t="s">
        <v>1768</v>
      </c>
      <c r="G120" s="117" t="s">
        <v>622</v>
      </c>
      <c r="H120" s="103" t="s">
        <v>1078</v>
      </c>
      <c r="I120" s="103" t="s">
        <v>1373</v>
      </c>
      <c r="L120" s="117"/>
      <c r="M120" s="118"/>
      <c r="N120" s="117"/>
      <c r="O120" s="103"/>
      <c r="P120" s="103"/>
      <c r="R120" s="114"/>
      <c r="U120" s="114">
        <v>2</v>
      </c>
    </row>
    <row r="121" spans="1:21">
      <c r="A121" s="128" t="s">
        <v>1092</v>
      </c>
      <c r="B121" s="114">
        <v>2</v>
      </c>
      <c r="C121" s="114">
        <v>11</v>
      </c>
      <c r="D121" t="s">
        <v>1578</v>
      </c>
      <c r="E121" s="117" t="s">
        <v>1664</v>
      </c>
      <c r="F121" s="118" t="s">
        <v>1768</v>
      </c>
      <c r="G121" s="117" t="s">
        <v>622</v>
      </c>
      <c r="H121" s="103" t="s">
        <v>1078</v>
      </c>
      <c r="I121" s="103" t="s">
        <v>1373</v>
      </c>
      <c r="L121" s="117"/>
      <c r="M121" s="118"/>
      <c r="N121" s="117"/>
      <c r="O121" s="103"/>
      <c r="P121" s="103"/>
      <c r="R121" s="114"/>
      <c r="U121" s="114">
        <v>2</v>
      </c>
    </row>
    <row r="122" spans="1:21">
      <c r="A122" s="128" t="s">
        <v>883</v>
      </c>
      <c r="B122" s="114">
        <v>3</v>
      </c>
      <c r="C122" s="114">
        <v>15</v>
      </c>
      <c r="D122" t="s">
        <v>956</v>
      </c>
      <c r="E122" s="117" t="s">
        <v>1664</v>
      </c>
      <c r="F122" s="118" t="s">
        <v>1768</v>
      </c>
      <c r="G122" s="117" t="s">
        <v>622</v>
      </c>
      <c r="H122" s="103" t="s">
        <v>1078</v>
      </c>
      <c r="I122" s="103" t="s">
        <v>1373</v>
      </c>
      <c r="L122" s="117"/>
      <c r="M122" s="117"/>
      <c r="N122" s="117"/>
      <c r="O122" s="103"/>
      <c r="P122" s="103"/>
      <c r="R122" s="114"/>
      <c r="U122" s="114">
        <v>1</v>
      </c>
    </row>
    <row r="123" spans="1:21">
      <c r="A123" s="128" t="s">
        <v>615</v>
      </c>
      <c r="B123" s="114">
        <v>2</v>
      </c>
      <c r="C123" s="114">
        <v>15</v>
      </c>
      <c r="D123" t="s">
        <v>956</v>
      </c>
      <c r="E123" s="117" t="s">
        <v>1664</v>
      </c>
      <c r="F123" s="118" t="s">
        <v>1768</v>
      </c>
      <c r="G123" s="117" t="s">
        <v>622</v>
      </c>
      <c r="H123" s="103" t="s">
        <v>1078</v>
      </c>
      <c r="I123" s="103" t="s">
        <v>1873</v>
      </c>
      <c r="L123" s="117"/>
      <c r="M123" s="117"/>
      <c r="N123" s="117"/>
      <c r="O123" s="103"/>
      <c r="P123" s="103"/>
      <c r="R123" s="114"/>
      <c r="U123" s="114">
        <v>2</v>
      </c>
    </row>
    <row r="124" spans="1:21">
      <c r="A124" s="128" t="s">
        <v>957</v>
      </c>
      <c r="B124" s="114">
        <v>2</v>
      </c>
      <c r="C124" s="114">
        <v>15</v>
      </c>
      <c r="D124" t="s">
        <v>956</v>
      </c>
      <c r="E124" s="117" t="s">
        <v>1664</v>
      </c>
      <c r="F124" s="118" t="s">
        <v>1768</v>
      </c>
      <c r="G124" s="117" t="s">
        <v>622</v>
      </c>
      <c r="H124" s="103" t="s">
        <v>1078</v>
      </c>
      <c r="I124" s="103" t="s">
        <v>1373</v>
      </c>
      <c r="L124" s="117"/>
      <c r="M124" s="117"/>
      <c r="N124" s="117"/>
      <c r="O124" s="103"/>
      <c r="P124" s="103"/>
      <c r="R124" s="114"/>
      <c r="U124" s="114">
        <v>1</v>
      </c>
    </row>
    <row r="125" spans="1:21">
      <c r="A125" s="128" t="s">
        <v>1822</v>
      </c>
      <c r="B125" s="114">
        <v>2</v>
      </c>
      <c r="C125" s="114">
        <v>15</v>
      </c>
      <c r="D125" t="s">
        <v>1355</v>
      </c>
      <c r="E125" s="117" t="s">
        <v>1664</v>
      </c>
      <c r="F125" s="118" t="s">
        <v>1768</v>
      </c>
      <c r="G125" s="117" t="s">
        <v>622</v>
      </c>
      <c r="H125" s="103" t="s">
        <v>1078</v>
      </c>
      <c r="I125" s="103" t="s">
        <v>1373</v>
      </c>
      <c r="L125" s="117"/>
      <c r="M125" s="117"/>
      <c r="N125" s="117"/>
      <c r="O125" s="103"/>
      <c r="P125" s="103"/>
      <c r="R125" s="114"/>
      <c r="U125" s="114">
        <v>1</v>
      </c>
    </row>
    <row r="126" spans="1:21">
      <c r="A126" s="128" t="s">
        <v>712</v>
      </c>
      <c r="B126" s="114">
        <v>2</v>
      </c>
      <c r="C126" s="114">
        <v>15</v>
      </c>
      <c r="D126" t="s">
        <v>956</v>
      </c>
      <c r="E126" s="117" t="s">
        <v>1664</v>
      </c>
      <c r="F126" s="118" t="s">
        <v>1768</v>
      </c>
      <c r="G126" s="117" t="s">
        <v>622</v>
      </c>
      <c r="H126" s="103" t="s">
        <v>1078</v>
      </c>
      <c r="I126" s="103" t="s">
        <v>1373</v>
      </c>
      <c r="L126" s="117"/>
      <c r="M126" s="117"/>
      <c r="N126" s="117"/>
      <c r="O126" s="103"/>
      <c r="P126" s="103"/>
      <c r="R126" s="114"/>
      <c r="U126" s="114">
        <v>1</v>
      </c>
    </row>
    <row r="127" spans="1:21">
      <c r="A127" s="128" t="s">
        <v>1356</v>
      </c>
      <c r="B127" s="114">
        <v>3</v>
      </c>
      <c r="C127" s="114">
        <v>15</v>
      </c>
      <c r="D127" t="s">
        <v>1338</v>
      </c>
      <c r="E127" s="117" t="s">
        <v>1664</v>
      </c>
      <c r="F127" s="118" t="s">
        <v>1768</v>
      </c>
      <c r="G127" s="117" t="s">
        <v>622</v>
      </c>
      <c r="H127" s="103" t="s">
        <v>1078</v>
      </c>
      <c r="I127" s="103" t="s">
        <v>1373</v>
      </c>
      <c r="L127" s="117"/>
      <c r="M127" s="117"/>
      <c r="N127" s="117"/>
      <c r="O127" s="103"/>
      <c r="P127" s="103"/>
      <c r="R127" s="114"/>
      <c r="U127" s="114"/>
    </row>
    <row r="128" spans="1:21">
      <c r="A128" s="128" t="s">
        <v>422</v>
      </c>
      <c r="B128" s="114">
        <v>3</v>
      </c>
      <c r="C128" s="114">
        <v>11</v>
      </c>
      <c r="D128" t="s">
        <v>956</v>
      </c>
      <c r="E128" s="117" t="s">
        <v>1664</v>
      </c>
      <c r="F128" s="118" t="s">
        <v>1768</v>
      </c>
      <c r="G128" s="117" t="s">
        <v>622</v>
      </c>
      <c r="H128" s="103" t="s">
        <v>1078</v>
      </c>
      <c r="I128" s="103" t="s">
        <v>1373</v>
      </c>
      <c r="L128" s="103"/>
      <c r="M128" s="117"/>
      <c r="N128" s="117"/>
      <c r="O128" s="103"/>
      <c r="P128" s="103"/>
      <c r="R128" s="114"/>
      <c r="U128" s="114">
        <v>1</v>
      </c>
    </row>
    <row r="129" spans="1:21">
      <c r="A129" s="128" t="s">
        <v>423</v>
      </c>
      <c r="B129" s="114">
        <v>3</v>
      </c>
      <c r="C129" s="114">
        <v>3</v>
      </c>
      <c r="D129" t="s">
        <v>956</v>
      </c>
      <c r="E129" s="117" t="s">
        <v>1433</v>
      </c>
      <c r="F129" s="117" t="s">
        <v>785</v>
      </c>
      <c r="G129" s="117" t="s">
        <v>1850</v>
      </c>
      <c r="H129" s="103" t="s">
        <v>1851</v>
      </c>
      <c r="I129" s="103" t="s">
        <v>1494</v>
      </c>
      <c r="L129" s="103"/>
      <c r="M129" s="117"/>
      <c r="N129" s="117"/>
      <c r="O129" s="103"/>
      <c r="P129" s="103"/>
      <c r="R129" s="114"/>
      <c r="U129" s="114">
        <v>2</v>
      </c>
    </row>
    <row r="130" spans="1:21">
      <c r="A130" s="128" t="s">
        <v>907</v>
      </c>
      <c r="B130" s="114">
        <v>4</v>
      </c>
      <c r="C130" s="114">
        <v>3</v>
      </c>
      <c r="D130" t="s">
        <v>935</v>
      </c>
      <c r="E130" s="117" t="s">
        <v>1433</v>
      </c>
      <c r="F130" s="117" t="s">
        <v>785</v>
      </c>
      <c r="G130" s="117" t="s">
        <v>1850</v>
      </c>
      <c r="H130" s="103" t="s">
        <v>1851</v>
      </c>
      <c r="I130" s="103" t="s">
        <v>1494</v>
      </c>
      <c r="L130" s="103"/>
      <c r="M130" s="117"/>
      <c r="N130" s="117"/>
      <c r="O130" s="103"/>
      <c r="P130" s="103"/>
      <c r="R130" s="114"/>
      <c r="U130" s="114">
        <v>2</v>
      </c>
    </row>
    <row r="131" spans="1:21">
      <c r="A131" s="128" t="s">
        <v>756</v>
      </c>
      <c r="B131" s="114">
        <v>5</v>
      </c>
      <c r="C131" s="114">
        <v>3</v>
      </c>
      <c r="D131" t="s">
        <v>956</v>
      </c>
      <c r="E131" s="117" t="s">
        <v>1433</v>
      </c>
      <c r="F131" s="117" t="s">
        <v>785</v>
      </c>
      <c r="G131" s="117" t="s">
        <v>1850</v>
      </c>
      <c r="H131" s="103" t="s">
        <v>1851</v>
      </c>
      <c r="I131" s="103" t="s">
        <v>1494</v>
      </c>
      <c r="L131" s="103"/>
      <c r="M131" s="117"/>
      <c r="N131" s="117"/>
      <c r="O131" s="103"/>
      <c r="P131" s="103"/>
      <c r="R131" s="114"/>
      <c r="U131" s="114">
        <v>4</v>
      </c>
    </row>
    <row r="132" spans="1:21">
      <c r="A132" s="128" t="s">
        <v>424</v>
      </c>
      <c r="B132" s="114">
        <v>5</v>
      </c>
      <c r="C132" s="114">
        <v>3</v>
      </c>
      <c r="D132" t="s">
        <v>935</v>
      </c>
      <c r="E132" s="117" t="s">
        <v>1433</v>
      </c>
      <c r="F132" s="117" t="s">
        <v>785</v>
      </c>
      <c r="G132" s="117" t="s">
        <v>1850</v>
      </c>
      <c r="H132" s="103" t="s">
        <v>1851</v>
      </c>
      <c r="I132" s="103" t="s">
        <v>1494</v>
      </c>
      <c r="L132" s="103"/>
      <c r="M132" s="117"/>
      <c r="N132" s="117"/>
      <c r="O132" s="103"/>
      <c r="P132" s="103"/>
      <c r="R132" s="114"/>
      <c r="U132" s="114">
        <v>4</v>
      </c>
    </row>
    <row r="133" spans="1:21">
      <c r="A133" s="128" t="s">
        <v>826</v>
      </c>
      <c r="B133" s="114">
        <v>5</v>
      </c>
      <c r="C133" s="114">
        <v>3</v>
      </c>
      <c r="D133" t="s">
        <v>1080</v>
      </c>
      <c r="E133" s="117" t="s">
        <v>1433</v>
      </c>
      <c r="F133" s="117" t="s">
        <v>622</v>
      </c>
      <c r="G133" s="117" t="s">
        <v>1565</v>
      </c>
      <c r="H133" s="103" t="s">
        <v>1210</v>
      </c>
      <c r="I133" s="103" t="s">
        <v>1211</v>
      </c>
      <c r="L133" s="103"/>
      <c r="M133" s="117"/>
      <c r="N133" s="117"/>
      <c r="O133" s="103"/>
      <c r="P133" s="103"/>
      <c r="R133" s="114"/>
      <c r="U133" s="114">
        <v>4</v>
      </c>
    </row>
    <row r="134" spans="1:21">
      <c r="A134" s="128" t="s">
        <v>1966</v>
      </c>
      <c r="B134" s="114">
        <v>5</v>
      </c>
      <c r="C134" s="114">
        <v>3</v>
      </c>
      <c r="D134" t="s">
        <v>935</v>
      </c>
      <c r="E134" s="117" t="s">
        <v>1433</v>
      </c>
      <c r="F134" s="117" t="s">
        <v>785</v>
      </c>
      <c r="G134" s="117" t="s">
        <v>1850</v>
      </c>
      <c r="H134" s="103" t="s">
        <v>1851</v>
      </c>
      <c r="I134" s="103" t="s">
        <v>1494</v>
      </c>
      <c r="L134" s="103"/>
      <c r="M134" s="117"/>
      <c r="N134" s="117"/>
      <c r="O134" s="103"/>
      <c r="P134" s="103"/>
      <c r="R134" s="114"/>
      <c r="U134" s="114">
        <v>2</v>
      </c>
    </row>
    <row r="135" spans="1:21">
      <c r="A135" s="128" t="s">
        <v>1967</v>
      </c>
      <c r="B135" s="114">
        <v>5</v>
      </c>
      <c r="C135" s="114">
        <v>3</v>
      </c>
      <c r="D135" t="s">
        <v>935</v>
      </c>
      <c r="E135" s="117" t="s">
        <v>1433</v>
      </c>
      <c r="F135" s="117" t="s">
        <v>785</v>
      </c>
      <c r="G135" s="117" t="s">
        <v>1850</v>
      </c>
      <c r="H135" s="103" t="s">
        <v>1851</v>
      </c>
      <c r="I135" s="103" t="s">
        <v>1494</v>
      </c>
      <c r="L135" s="103"/>
      <c r="M135" s="117"/>
      <c r="N135" s="117"/>
      <c r="O135" s="103"/>
      <c r="P135" s="103"/>
      <c r="R135" s="114"/>
      <c r="U135" s="114">
        <v>4</v>
      </c>
    </row>
    <row r="136" spans="1:21">
      <c r="A136" s="128" t="s">
        <v>1495</v>
      </c>
      <c r="B136" s="114">
        <v>5</v>
      </c>
      <c r="C136" s="114">
        <v>3</v>
      </c>
      <c r="D136" t="s">
        <v>935</v>
      </c>
      <c r="E136" s="117" t="s">
        <v>1433</v>
      </c>
      <c r="F136" s="117" t="s">
        <v>785</v>
      </c>
      <c r="G136" s="117" t="s">
        <v>1850</v>
      </c>
      <c r="H136" s="103" t="s">
        <v>1851</v>
      </c>
      <c r="I136" s="103" t="s">
        <v>1494</v>
      </c>
      <c r="L136" s="103"/>
      <c r="M136" s="117"/>
      <c r="N136" s="117"/>
      <c r="O136" s="103"/>
      <c r="P136" s="103"/>
      <c r="R136" s="114"/>
      <c r="U136" s="114">
        <v>3</v>
      </c>
    </row>
    <row r="137" spans="1:21">
      <c r="A137" s="128" t="s">
        <v>1496</v>
      </c>
      <c r="B137" s="114">
        <v>3</v>
      </c>
      <c r="C137" s="114">
        <v>3</v>
      </c>
      <c r="D137" t="s">
        <v>935</v>
      </c>
      <c r="E137" s="117" t="s">
        <v>1433</v>
      </c>
      <c r="F137" s="117" t="s">
        <v>785</v>
      </c>
      <c r="G137" s="117" t="s">
        <v>1850</v>
      </c>
      <c r="H137" s="103" t="s">
        <v>1851</v>
      </c>
      <c r="I137" s="103" t="s">
        <v>1494</v>
      </c>
      <c r="R137" s="114"/>
      <c r="U137" s="114">
        <v>6</v>
      </c>
    </row>
    <row r="138" spans="1:21">
      <c r="A138" s="128" t="s">
        <v>1300</v>
      </c>
      <c r="B138" s="114">
        <v>5</v>
      </c>
      <c r="C138" s="114">
        <v>3</v>
      </c>
      <c r="D138" t="s">
        <v>935</v>
      </c>
      <c r="E138" s="117" t="s">
        <v>1433</v>
      </c>
      <c r="F138" s="117" t="s">
        <v>785</v>
      </c>
      <c r="G138" s="117" t="s">
        <v>1850</v>
      </c>
      <c r="H138" s="103" t="s">
        <v>1851</v>
      </c>
      <c r="I138" s="103" t="s">
        <v>1494</v>
      </c>
      <c r="R138" s="114"/>
      <c r="U138" s="114">
        <v>5</v>
      </c>
    </row>
    <row r="139" spans="1:21">
      <c r="A139" s="128" t="s">
        <v>1972</v>
      </c>
      <c r="B139" s="114">
        <v>5</v>
      </c>
      <c r="C139" s="114">
        <v>3</v>
      </c>
      <c r="D139" t="s">
        <v>935</v>
      </c>
      <c r="E139" s="117" t="s">
        <v>1433</v>
      </c>
      <c r="F139" s="117" t="s">
        <v>785</v>
      </c>
      <c r="G139" s="117" t="s">
        <v>1850</v>
      </c>
      <c r="H139" s="103" t="s">
        <v>1851</v>
      </c>
      <c r="I139" s="103" t="s">
        <v>1494</v>
      </c>
      <c r="R139" s="114"/>
      <c r="U139" s="114">
        <v>4</v>
      </c>
    </row>
    <row r="140" spans="1:21">
      <c r="A140" s="128" t="s">
        <v>1091</v>
      </c>
      <c r="B140" s="114">
        <v>6</v>
      </c>
      <c r="C140" s="114">
        <v>3</v>
      </c>
      <c r="D140" t="s">
        <v>935</v>
      </c>
      <c r="E140" s="117" t="s">
        <v>1433</v>
      </c>
      <c r="F140" s="117" t="s">
        <v>785</v>
      </c>
      <c r="G140" s="117" t="s">
        <v>1850</v>
      </c>
      <c r="H140" s="103" t="s">
        <v>1851</v>
      </c>
      <c r="I140" s="103" t="s">
        <v>1494</v>
      </c>
      <c r="R140" s="114"/>
      <c r="U140" s="114">
        <v>1</v>
      </c>
    </row>
    <row r="141" spans="1:21">
      <c r="A141" s="128" t="s">
        <v>1254</v>
      </c>
      <c r="B141" s="114">
        <v>6</v>
      </c>
      <c r="C141" s="114">
        <v>3</v>
      </c>
      <c r="D141" t="s">
        <v>935</v>
      </c>
      <c r="E141" s="117" t="s">
        <v>1433</v>
      </c>
      <c r="F141" s="117" t="s">
        <v>785</v>
      </c>
      <c r="G141" s="117" t="s">
        <v>1850</v>
      </c>
      <c r="H141" s="103" t="s">
        <v>1851</v>
      </c>
      <c r="I141" s="103" t="s">
        <v>1494</v>
      </c>
      <c r="R141" s="114"/>
      <c r="U141" s="114">
        <v>5</v>
      </c>
    </row>
    <row r="142" spans="1:21">
      <c r="A142" s="128" t="s">
        <v>1255</v>
      </c>
      <c r="B142" s="114">
        <v>6</v>
      </c>
      <c r="C142" s="114">
        <v>3</v>
      </c>
      <c r="D142" t="s">
        <v>935</v>
      </c>
      <c r="E142" s="117" t="s">
        <v>1433</v>
      </c>
      <c r="F142" s="117" t="s">
        <v>785</v>
      </c>
      <c r="G142" s="117" t="s">
        <v>1850</v>
      </c>
      <c r="H142" s="103" t="s">
        <v>1851</v>
      </c>
      <c r="I142" s="103" t="s">
        <v>1494</v>
      </c>
      <c r="R142" s="114"/>
      <c r="U142" s="114">
        <v>5</v>
      </c>
    </row>
    <row r="143" spans="1:21">
      <c r="A143" s="128" t="s">
        <v>1333</v>
      </c>
      <c r="B143" s="114">
        <v>6</v>
      </c>
      <c r="C143" s="114">
        <v>3</v>
      </c>
      <c r="D143" t="s">
        <v>935</v>
      </c>
      <c r="E143" s="117" t="s">
        <v>1433</v>
      </c>
      <c r="F143" s="117" t="s">
        <v>785</v>
      </c>
      <c r="G143" s="117" t="s">
        <v>1850</v>
      </c>
      <c r="H143" s="103" t="s">
        <v>1851</v>
      </c>
      <c r="I143" s="103" t="s">
        <v>1494</v>
      </c>
      <c r="R143" s="114"/>
      <c r="U143" s="114">
        <v>2</v>
      </c>
    </row>
    <row r="144" spans="1:21">
      <c r="A144" s="128" t="s">
        <v>1327</v>
      </c>
      <c r="B144" s="114">
        <v>6</v>
      </c>
      <c r="C144" s="114">
        <v>3</v>
      </c>
      <c r="D144" t="s">
        <v>935</v>
      </c>
      <c r="E144" s="117" t="s">
        <v>1433</v>
      </c>
      <c r="F144" s="117" t="s">
        <v>785</v>
      </c>
      <c r="G144" s="117" t="s">
        <v>1850</v>
      </c>
      <c r="H144" s="103" t="s">
        <v>1851</v>
      </c>
      <c r="I144" s="103" t="s">
        <v>1494</v>
      </c>
      <c r="R144" s="114"/>
      <c r="U144" s="114">
        <v>4</v>
      </c>
    </row>
    <row r="145" spans="1:21">
      <c r="A145" s="128" t="s">
        <v>1697</v>
      </c>
      <c r="B145" s="114">
        <v>4</v>
      </c>
      <c r="C145" s="114">
        <v>3</v>
      </c>
      <c r="D145" t="s">
        <v>935</v>
      </c>
      <c r="E145" s="117" t="s">
        <v>1433</v>
      </c>
      <c r="F145" s="117" t="s">
        <v>785</v>
      </c>
      <c r="G145" s="117" t="s">
        <v>1850</v>
      </c>
      <c r="H145" s="103" t="s">
        <v>1851</v>
      </c>
      <c r="I145" s="103" t="s">
        <v>1494</v>
      </c>
      <c r="R145" s="114"/>
      <c r="U145" s="114">
        <v>5</v>
      </c>
    </row>
    <row r="146" spans="1:21">
      <c r="A146" s="128" t="s">
        <v>851</v>
      </c>
      <c r="B146" s="114">
        <v>7</v>
      </c>
      <c r="C146" s="114">
        <v>3</v>
      </c>
      <c r="D146" t="s">
        <v>935</v>
      </c>
      <c r="E146" s="117" t="s">
        <v>1433</v>
      </c>
      <c r="F146" s="117" t="s">
        <v>785</v>
      </c>
      <c r="G146" s="117" t="s">
        <v>1850</v>
      </c>
      <c r="H146" s="103" t="s">
        <v>1851</v>
      </c>
      <c r="I146" s="103" t="s">
        <v>1494</v>
      </c>
      <c r="R146" s="114"/>
      <c r="U146" s="114">
        <v>3</v>
      </c>
    </row>
    <row r="147" spans="1:21">
      <c r="A147" s="128" t="s">
        <v>1250</v>
      </c>
      <c r="B147" s="114">
        <v>6</v>
      </c>
      <c r="C147" s="114">
        <v>3</v>
      </c>
      <c r="D147" t="s">
        <v>935</v>
      </c>
      <c r="E147" s="117" t="s">
        <v>1433</v>
      </c>
      <c r="F147" s="117" t="s">
        <v>785</v>
      </c>
      <c r="G147" s="117" t="s">
        <v>1850</v>
      </c>
      <c r="H147" s="103" t="s">
        <v>1851</v>
      </c>
      <c r="I147" s="103" t="s">
        <v>1494</v>
      </c>
      <c r="R147" s="114"/>
      <c r="U147" s="114">
        <v>4</v>
      </c>
    </row>
    <row r="148" spans="1:21">
      <c r="A148" s="128" t="s">
        <v>1094</v>
      </c>
      <c r="B148" s="114">
        <v>6</v>
      </c>
      <c r="C148" s="114">
        <v>3</v>
      </c>
      <c r="D148" t="s">
        <v>935</v>
      </c>
      <c r="E148" s="117" t="s">
        <v>1433</v>
      </c>
      <c r="F148" s="117" t="s">
        <v>785</v>
      </c>
      <c r="G148" s="117" t="s">
        <v>1850</v>
      </c>
      <c r="H148" s="103" t="s">
        <v>1851</v>
      </c>
      <c r="I148" s="103" t="s">
        <v>1494</v>
      </c>
      <c r="R148" s="114"/>
      <c r="U148" s="114">
        <v>4</v>
      </c>
    </row>
    <row r="149" spans="1:21">
      <c r="A149" s="128" t="s">
        <v>948</v>
      </c>
      <c r="B149" s="114">
        <v>5</v>
      </c>
      <c r="C149" s="114">
        <v>3</v>
      </c>
      <c r="D149" t="s">
        <v>935</v>
      </c>
      <c r="E149" s="117" t="s">
        <v>1433</v>
      </c>
      <c r="F149" s="117" t="s">
        <v>785</v>
      </c>
      <c r="G149" s="117" t="s">
        <v>1850</v>
      </c>
      <c r="H149" s="103" t="s">
        <v>1851</v>
      </c>
      <c r="I149" s="103" t="s">
        <v>1494</v>
      </c>
      <c r="R149" s="114"/>
      <c r="U149" s="114">
        <v>6</v>
      </c>
    </row>
    <row r="150" spans="1:21">
      <c r="A150" s="128" t="s">
        <v>949</v>
      </c>
      <c r="B150" s="114">
        <v>2</v>
      </c>
      <c r="C150" s="114">
        <v>3</v>
      </c>
      <c r="D150" t="s">
        <v>935</v>
      </c>
      <c r="E150" s="117" t="s">
        <v>1433</v>
      </c>
      <c r="F150" s="117" t="s">
        <v>785</v>
      </c>
      <c r="G150" s="117" t="s">
        <v>1850</v>
      </c>
      <c r="H150" s="103" t="s">
        <v>1851</v>
      </c>
      <c r="I150" s="103" t="s">
        <v>1494</v>
      </c>
      <c r="R150" s="114"/>
      <c r="U150" s="114">
        <v>8</v>
      </c>
    </row>
    <row r="151" spans="1:21">
      <c r="A151" s="128" t="s">
        <v>950</v>
      </c>
      <c r="B151" s="114">
        <v>6</v>
      </c>
      <c r="C151" s="114">
        <v>3</v>
      </c>
      <c r="D151" t="s">
        <v>935</v>
      </c>
      <c r="E151" s="117" t="s">
        <v>1433</v>
      </c>
      <c r="F151" s="117" t="s">
        <v>785</v>
      </c>
      <c r="G151" s="117" t="s">
        <v>1850</v>
      </c>
      <c r="H151" s="103" t="s">
        <v>1851</v>
      </c>
      <c r="I151" s="103" t="s">
        <v>1494</v>
      </c>
      <c r="R151" s="114"/>
      <c r="U151" s="114">
        <v>7</v>
      </c>
    </row>
    <row r="152" spans="1:21">
      <c r="A152" s="128" t="s">
        <v>1426</v>
      </c>
      <c r="B152" s="114">
        <v>5</v>
      </c>
      <c r="C152" s="114">
        <v>3</v>
      </c>
      <c r="D152" t="s">
        <v>935</v>
      </c>
      <c r="E152" s="117" t="s">
        <v>1433</v>
      </c>
      <c r="F152" s="117" t="s">
        <v>785</v>
      </c>
      <c r="G152" s="117" t="s">
        <v>1850</v>
      </c>
      <c r="H152" s="103" t="s">
        <v>1851</v>
      </c>
      <c r="I152" s="103" t="s">
        <v>1494</v>
      </c>
      <c r="R152" s="114"/>
      <c r="U152" s="114">
        <v>5</v>
      </c>
    </row>
    <row r="153" spans="1:21">
      <c r="A153" s="128" t="s">
        <v>951</v>
      </c>
      <c r="B153" s="114">
        <v>6</v>
      </c>
      <c r="C153" s="114">
        <v>3</v>
      </c>
      <c r="D153" t="s">
        <v>935</v>
      </c>
      <c r="E153" s="117" t="s">
        <v>1433</v>
      </c>
      <c r="F153" s="117" t="s">
        <v>785</v>
      </c>
      <c r="G153" s="117" t="s">
        <v>1850</v>
      </c>
      <c r="H153" s="103" t="s">
        <v>1851</v>
      </c>
      <c r="I153" s="103" t="s">
        <v>1494</v>
      </c>
      <c r="R153" s="114"/>
      <c r="U153" s="114">
        <v>4</v>
      </c>
    </row>
    <row r="154" spans="1:21">
      <c r="A154" s="128" t="s">
        <v>1427</v>
      </c>
      <c r="B154" s="114">
        <v>6</v>
      </c>
      <c r="C154" s="114">
        <v>3</v>
      </c>
      <c r="D154" t="s">
        <v>935</v>
      </c>
      <c r="E154" s="117" t="s">
        <v>1433</v>
      </c>
      <c r="F154" s="117" t="s">
        <v>785</v>
      </c>
      <c r="G154" s="117" t="s">
        <v>1850</v>
      </c>
      <c r="H154" s="103" t="s">
        <v>1851</v>
      </c>
      <c r="I154" s="103" t="s">
        <v>1494</v>
      </c>
      <c r="R154" s="114"/>
      <c r="U154" s="114">
        <v>8</v>
      </c>
    </row>
    <row r="155" spans="1:21">
      <c r="A155" s="128" t="s">
        <v>1428</v>
      </c>
      <c r="B155" s="114">
        <v>5</v>
      </c>
      <c r="C155" s="114">
        <v>3</v>
      </c>
      <c r="D155" t="s">
        <v>935</v>
      </c>
      <c r="E155" s="117" t="s">
        <v>1433</v>
      </c>
      <c r="F155" s="117" t="s">
        <v>785</v>
      </c>
      <c r="G155" s="117" t="s">
        <v>1850</v>
      </c>
      <c r="H155" s="103" t="s">
        <v>1851</v>
      </c>
      <c r="I155" s="103" t="s">
        <v>1494</v>
      </c>
      <c r="R155" s="114"/>
      <c r="U155" s="114">
        <v>3</v>
      </c>
    </row>
    <row r="156" spans="1:21">
      <c r="A156" s="128" t="s">
        <v>958</v>
      </c>
      <c r="B156" s="114">
        <v>3</v>
      </c>
      <c r="C156" s="114">
        <v>3</v>
      </c>
      <c r="D156" t="s">
        <v>935</v>
      </c>
      <c r="E156" s="117" t="s">
        <v>1433</v>
      </c>
      <c r="F156" s="117" t="s">
        <v>785</v>
      </c>
      <c r="G156" s="117" t="s">
        <v>1850</v>
      </c>
      <c r="H156" s="103" t="s">
        <v>1851</v>
      </c>
      <c r="I156" s="103" t="s">
        <v>1494</v>
      </c>
      <c r="R156" s="114"/>
      <c r="U156" s="114">
        <v>4</v>
      </c>
    </row>
    <row r="157" spans="1:21">
      <c r="A157" s="128" t="s">
        <v>1803</v>
      </c>
      <c r="B157" s="114">
        <v>6</v>
      </c>
      <c r="C157" s="114">
        <v>3</v>
      </c>
      <c r="D157" t="s">
        <v>935</v>
      </c>
      <c r="E157" s="103" t="s">
        <v>803</v>
      </c>
      <c r="F157" s="117" t="s">
        <v>1152</v>
      </c>
      <c r="G157" s="117" t="s">
        <v>1153</v>
      </c>
      <c r="H157" s="103" t="s">
        <v>1211</v>
      </c>
      <c r="I157" s="103" t="s">
        <v>1155</v>
      </c>
      <c r="R157" s="114"/>
      <c r="U157" s="114">
        <v>4</v>
      </c>
    </row>
    <row r="158" spans="1:21">
      <c r="A158" s="128" t="s">
        <v>1788</v>
      </c>
      <c r="B158" s="114">
        <v>6</v>
      </c>
      <c r="C158" s="114">
        <v>3</v>
      </c>
      <c r="D158" t="s">
        <v>935</v>
      </c>
      <c r="E158" s="117" t="s">
        <v>1433</v>
      </c>
      <c r="F158" s="117" t="s">
        <v>785</v>
      </c>
      <c r="G158" s="117" t="s">
        <v>1850</v>
      </c>
      <c r="H158" s="103" t="s">
        <v>1851</v>
      </c>
      <c r="I158" s="103" t="s">
        <v>1494</v>
      </c>
      <c r="R158" s="114"/>
      <c r="U158" s="114">
        <v>4</v>
      </c>
    </row>
    <row r="159" spans="1:21">
      <c r="A159" s="128" t="s">
        <v>1789</v>
      </c>
      <c r="B159" s="114">
        <v>5</v>
      </c>
      <c r="C159" s="114">
        <v>3</v>
      </c>
      <c r="D159" t="s">
        <v>936</v>
      </c>
      <c r="E159" s="117" t="s">
        <v>1433</v>
      </c>
      <c r="F159" s="117" t="s">
        <v>785</v>
      </c>
      <c r="G159" s="117" t="s">
        <v>1850</v>
      </c>
      <c r="H159" s="103" t="s">
        <v>1851</v>
      </c>
      <c r="I159" s="103" t="s">
        <v>1494</v>
      </c>
      <c r="R159" s="114"/>
      <c r="U159" s="114">
        <v>4</v>
      </c>
    </row>
    <row r="160" spans="1:21">
      <c r="A160" s="128" t="s">
        <v>1246</v>
      </c>
      <c r="B160" s="114">
        <v>5</v>
      </c>
      <c r="C160" s="114">
        <v>3</v>
      </c>
      <c r="D160" t="s">
        <v>935</v>
      </c>
      <c r="E160" s="117" t="s">
        <v>1433</v>
      </c>
      <c r="F160" s="117" t="s">
        <v>785</v>
      </c>
      <c r="G160" s="117" t="s">
        <v>1850</v>
      </c>
      <c r="H160" s="103" t="s">
        <v>1851</v>
      </c>
      <c r="I160" s="103" t="s">
        <v>1494</v>
      </c>
      <c r="R160" s="114"/>
      <c r="U160" s="114">
        <v>5</v>
      </c>
    </row>
    <row r="161" spans="1:21">
      <c r="A161" s="128" t="s">
        <v>1189</v>
      </c>
      <c r="B161" s="114">
        <v>5</v>
      </c>
      <c r="C161" s="114">
        <v>3</v>
      </c>
      <c r="D161" t="s">
        <v>935</v>
      </c>
      <c r="E161" s="117" t="s">
        <v>1433</v>
      </c>
      <c r="F161" s="117" t="s">
        <v>785</v>
      </c>
      <c r="G161" s="117" t="s">
        <v>1850</v>
      </c>
      <c r="H161" s="103" t="s">
        <v>1851</v>
      </c>
      <c r="I161" s="103" t="s">
        <v>1494</v>
      </c>
      <c r="R161" s="114"/>
      <c r="U161" s="114">
        <v>5</v>
      </c>
    </row>
    <row r="162" spans="1:21">
      <c r="A162" s="128" t="s">
        <v>1950</v>
      </c>
      <c r="B162" s="114">
        <v>7</v>
      </c>
      <c r="C162" s="114">
        <v>3</v>
      </c>
      <c r="D162" t="s">
        <v>935</v>
      </c>
      <c r="E162" s="103" t="s">
        <v>803</v>
      </c>
      <c r="F162" s="117" t="s">
        <v>1152</v>
      </c>
      <c r="G162" s="117" t="s">
        <v>1153</v>
      </c>
      <c r="H162" s="103" t="s">
        <v>1211</v>
      </c>
      <c r="I162" s="103" t="s">
        <v>1155</v>
      </c>
      <c r="R162" s="114"/>
      <c r="U162" s="114">
        <v>5</v>
      </c>
    </row>
    <row r="163" spans="1:21">
      <c r="A163" s="128" t="s">
        <v>1408</v>
      </c>
      <c r="B163" s="114">
        <v>9</v>
      </c>
      <c r="C163" s="114">
        <v>3</v>
      </c>
      <c r="D163" t="s">
        <v>935</v>
      </c>
      <c r="E163" s="103" t="s">
        <v>803</v>
      </c>
      <c r="F163" s="117" t="s">
        <v>1152</v>
      </c>
      <c r="G163" s="117" t="s">
        <v>1153</v>
      </c>
      <c r="H163" s="103" t="s">
        <v>1211</v>
      </c>
      <c r="I163" s="103" t="s">
        <v>1155</v>
      </c>
      <c r="R163" s="114"/>
      <c r="U163" s="114">
        <v>5</v>
      </c>
    </row>
    <row r="164" spans="1:21">
      <c r="A164" s="128" t="s">
        <v>942</v>
      </c>
      <c r="B164" s="114">
        <v>10</v>
      </c>
      <c r="C164" s="114">
        <v>2</v>
      </c>
      <c r="D164" t="s">
        <v>943</v>
      </c>
      <c r="E164" s="103" t="s">
        <v>809</v>
      </c>
      <c r="F164" s="117" t="s">
        <v>389</v>
      </c>
      <c r="G164" s="103" t="s">
        <v>1155</v>
      </c>
      <c r="H164" s="103" t="s">
        <v>390</v>
      </c>
      <c r="I164" s="103" t="s">
        <v>522</v>
      </c>
      <c r="R164" s="114"/>
      <c r="U164" s="114">
        <v>5</v>
      </c>
    </row>
    <row r="165" spans="1:21">
      <c r="A165" s="128" t="s">
        <v>859</v>
      </c>
      <c r="B165" s="114">
        <v>8</v>
      </c>
      <c r="C165" s="114">
        <v>3</v>
      </c>
      <c r="D165" t="s">
        <v>935</v>
      </c>
      <c r="E165" s="103" t="s">
        <v>803</v>
      </c>
      <c r="F165" s="117" t="s">
        <v>1152</v>
      </c>
      <c r="G165" s="117" t="s">
        <v>1153</v>
      </c>
      <c r="H165" s="103" t="s">
        <v>1211</v>
      </c>
      <c r="I165" s="103" t="s">
        <v>1155</v>
      </c>
      <c r="R165" s="114"/>
      <c r="U165" s="114"/>
    </row>
    <row r="166" spans="1:21">
      <c r="A166" s="128" t="s">
        <v>1021</v>
      </c>
      <c r="B166" s="114">
        <v>6</v>
      </c>
      <c r="C166" s="114">
        <v>3</v>
      </c>
      <c r="D166" t="s">
        <v>935</v>
      </c>
      <c r="E166" s="117" t="s">
        <v>1433</v>
      </c>
      <c r="F166" s="117" t="s">
        <v>785</v>
      </c>
      <c r="G166" s="117" t="s">
        <v>1850</v>
      </c>
      <c r="H166" s="103" t="s">
        <v>1851</v>
      </c>
      <c r="I166" s="103" t="s">
        <v>1494</v>
      </c>
      <c r="R166" s="114"/>
      <c r="U166" s="114">
        <v>5</v>
      </c>
    </row>
    <row r="167" spans="1:21">
      <c r="A167" s="128" t="s">
        <v>1381</v>
      </c>
      <c r="B167" s="114">
        <v>5</v>
      </c>
      <c r="C167" s="114">
        <v>3</v>
      </c>
      <c r="D167" t="s">
        <v>936</v>
      </c>
      <c r="E167" s="117" t="s">
        <v>1433</v>
      </c>
      <c r="F167" s="117" t="s">
        <v>785</v>
      </c>
      <c r="G167" s="117" t="s">
        <v>1850</v>
      </c>
      <c r="H167" s="103" t="s">
        <v>1851</v>
      </c>
      <c r="I167" s="103" t="s">
        <v>1494</v>
      </c>
      <c r="R167" s="114"/>
      <c r="U167" s="114">
        <v>4</v>
      </c>
    </row>
    <row r="168" spans="1:21">
      <c r="A168" s="128" t="s">
        <v>1794</v>
      </c>
      <c r="B168" s="114">
        <v>9</v>
      </c>
      <c r="C168" s="114">
        <v>3</v>
      </c>
      <c r="D168" t="s">
        <v>937</v>
      </c>
      <c r="E168" s="103" t="s">
        <v>803</v>
      </c>
      <c r="F168" s="117" t="s">
        <v>1152</v>
      </c>
      <c r="G168" s="117" t="s">
        <v>1153</v>
      </c>
      <c r="H168" s="103" t="s">
        <v>1211</v>
      </c>
      <c r="I168" s="103" t="s">
        <v>1155</v>
      </c>
      <c r="R168" s="114"/>
      <c r="U168" s="114">
        <v>5</v>
      </c>
    </row>
    <row r="169" spans="1:21">
      <c r="A169" s="128" t="s">
        <v>2024</v>
      </c>
      <c r="B169" s="114">
        <v>3</v>
      </c>
      <c r="C169" s="114">
        <v>3</v>
      </c>
      <c r="D169" t="s">
        <v>1080</v>
      </c>
      <c r="E169" s="117" t="s">
        <v>1433</v>
      </c>
      <c r="F169" s="117" t="s">
        <v>785</v>
      </c>
      <c r="G169" s="117" t="s">
        <v>1850</v>
      </c>
      <c r="H169" s="103" t="s">
        <v>1851</v>
      </c>
      <c r="I169" s="103" t="s">
        <v>1494</v>
      </c>
      <c r="R169" s="114"/>
      <c r="U169" s="114">
        <v>4</v>
      </c>
    </row>
    <row r="170" spans="1:21">
      <c r="A170" s="128" t="s">
        <v>1871</v>
      </c>
      <c r="B170" s="114">
        <v>3</v>
      </c>
      <c r="C170" s="114">
        <v>3</v>
      </c>
      <c r="D170" t="s">
        <v>1080</v>
      </c>
      <c r="E170" s="117" t="s">
        <v>1433</v>
      </c>
      <c r="F170" s="117" t="s">
        <v>785</v>
      </c>
      <c r="G170" s="117" t="s">
        <v>1850</v>
      </c>
      <c r="H170" s="103" t="s">
        <v>1851</v>
      </c>
      <c r="I170" s="103" t="s">
        <v>1494</v>
      </c>
      <c r="R170" s="114"/>
      <c r="U170" s="114">
        <v>3</v>
      </c>
    </row>
    <row r="171" spans="1:21">
      <c r="A171" s="128" t="s">
        <v>2026</v>
      </c>
      <c r="B171" s="114">
        <v>4</v>
      </c>
      <c r="C171" s="114">
        <v>3</v>
      </c>
      <c r="D171" t="s">
        <v>935</v>
      </c>
      <c r="E171" s="117" t="s">
        <v>1433</v>
      </c>
      <c r="F171" s="117" t="s">
        <v>785</v>
      </c>
      <c r="G171" s="117" t="s">
        <v>1850</v>
      </c>
      <c r="H171" s="103" t="s">
        <v>1851</v>
      </c>
      <c r="I171" s="103" t="s">
        <v>1494</v>
      </c>
      <c r="R171" s="114"/>
      <c r="U171" s="114">
        <v>3</v>
      </c>
    </row>
    <row r="172" spans="1:21">
      <c r="A172" s="128" t="s">
        <v>1186</v>
      </c>
      <c r="B172" s="114">
        <v>4</v>
      </c>
      <c r="C172" s="114">
        <v>3</v>
      </c>
      <c r="D172" t="s">
        <v>935</v>
      </c>
      <c r="E172" s="117" t="s">
        <v>1433</v>
      </c>
      <c r="F172" s="117" t="s">
        <v>785</v>
      </c>
      <c r="G172" s="117" t="s">
        <v>1850</v>
      </c>
      <c r="H172" s="103" t="s">
        <v>1851</v>
      </c>
      <c r="I172" s="103" t="s">
        <v>1494</v>
      </c>
      <c r="R172" s="114"/>
      <c r="U172" s="114">
        <v>5</v>
      </c>
    </row>
    <row r="173" spans="1:21">
      <c r="A173" s="128" t="s">
        <v>1187</v>
      </c>
      <c r="B173" s="114">
        <v>4</v>
      </c>
      <c r="C173" s="114">
        <v>3</v>
      </c>
      <c r="D173" t="s">
        <v>935</v>
      </c>
      <c r="E173" s="117" t="s">
        <v>1433</v>
      </c>
      <c r="F173" s="117" t="s">
        <v>785</v>
      </c>
      <c r="G173" s="117" t="s">
        <v>1850</v>
      </c>
      <c r="H173" s="103" t="s">
        <v>1851</v>
      </c>
      <c r="I173" s="103" t="s">
        <v>1494</v>
      </c>
      <c r="R173" s="114"/>
      <c r="U173" s="114">
        <v>4</v>
      </c>
    </row>
    <row r="174" spans="1:21">
      <c r="A174" s="128" t="s">
        <v>1188</v>
      </c>
      <c r="B174" s="114">
        <v>6</v>
      </c>
      <c r="C174" s="114">
        <v>3</v>
      </c>
      <c r="D174" t="s">
        <v>935</v>
      </c>
      <c r="E174" s="117" t="s">
        <v>1433</v>
      </c>
      <c r="F174" s="117" t="s">
        <v>785</v>
      </c>
      <c r="G174" s="117" t="s">
        <v>1850</v>
      </c>
      <c r="H174" s="103" t="s">
        <v>1851</v>
      </c>
      <c r="I174" s="103" t="s">
        <v>1494</v>
      </c>
      <c r="R174" s="114"/>
      <c r="U174" s="114">
        <v>4</v>
      </c>
    </row>
    <row r="175" spans="1:21">
      <c r="A175" s="128" t="s">
        <v>1215</v>
      </c>
      <c r="B175" s="114">
        <v>5</v>
      </c>
      <c r="C175" s="114">
        <v>3</v>
      </c>
      <c r="D175" t="s">
        <v>935</v>
      </c>
      <c r="E175" s="117" t="s">
        <v>1433</v>
      </c>
      <c r="F175" s="117" t="s">
        <v>785</v>
      </c>
      <c r="G175" s="117" t="s">
        <v>1850</v>
      </c>
      <c r="H175" s="103" t="s">
        <v>1851</v>
      </c>
      <c r="I175" s="103" t="s">
        <v>1494</v>
      </c>
      <c r="R175" s="114"/>
      <c r="U175" s="114">
        <v>5</v>
      </c>
    </row>
    <row r="176" spans="1:21">
      <c r="A176" s="128" t="s">
        <v>1249</v>
      </c>
      <c r="B176" s="114">
        <v>5</v>
      </c>
      <c r="C176" s="114">
        <v>3</v>
      </c>
      <c r="D176" t="s">
        <v>935</v>
      </c>
      <c r="E176" s="117" t="s">
        <v>1433</v>
      </c>
      <c r="F176" s="117" t="s">
        <v>785</v>
      </c>
      <c r="G176" s="117" t="s">
        <v>1850</v>
      </c>
      <c r="H176" s="103" t="s">
        <v>1851</v>
      </c>
      <c r="I176" s="103" t="s">
        <v>1494</v>
      </c>
      <c r="R176" s="114"/>
      <c r="U176" s="114">
        <v>4</v>
      </c>
    </row>
    <row r="177" spans="1:21">
      <c r="A177" s="128" t="s">
        <v>1089</v>
      </c>
      <c r="B177" s="114">
        <v>6</v>
      </c>
      <c r="C177" s="114">
        <v>3</v>
      </c>
      <c r="D177" t="s">
        <v>1080</v>
      </c>
      <c r="E177" s="117" t="s">
        <v>1433</v>
      </c>
      <c r="F177" s="117" t="s">
        <v>622</v>
      </c>
      <c r="G177" s="117" t="s">
        <v>1565</v>
      </c>
      <c r="H177" s="103" t="s">
        <v>1210</v>
      </c>
      <c r="I177" s="103" t="s">
        <v>1211</v>
      </c>
      <c r="R177" s="114"/>
      <c r="U177" s="114">
        <v>5</v>
      </c>
    </row>
    <row r="178" spans="1:21">
      <c r="A178" s="128" t="s">
        <v>1592</v>
      </c>
      <c r="B178" s="114">
        <v>5</v>
      </c>
      <c r="C178" s="114">
        <v>3</v>
      </c>
      <c r="D178" t="s">
        <v>935</v>
      </c>
      <c r="E178" s="117" t="s">
        <v>1433</v>
      </c>
      <c r="F178" s="117" t="s">
        <v>785</v>
      </c>
      <c r="G178" s="117" t="s">
        <v>1850</v>
      </c>
      <c r="H178" s="103" t="s">
        <v>1851</v>
      </c>
      <c r="I178" s="103" t="s">
        <v>1494</v>
      </c>
      <c r="R178" s="114"/>
      <c r="U178" s="114">
        <v>4</v>
      </c>
    </row>
    <row r="179" spans="1:21">
      <c r="A179" s="128" t="s">
        <v>1593</v>
      </c>
      <c r="B179" s="114">
        <v>6</v>
      </c>
      <c r="C179" s="114">
        <v>3</v>
      </c>
      <c r="D179" t="s">
        <v>1080</v>
      </c>
      <c r="E179" s="117" t="s">
        <v>1433</v>
      </c>
      <c r="F179" s="117" t="s">
        <v>622</v>
      </c>
      <c r="G179" s="117" t="s">
        <v>1565</v>
      </c>
      <c r="H179" s="103" t="s">
        <v>1210</v>
      </c>
      <c r="I179" s="103" t="s">
        <v>1211</v>
      </c>
      <c r="R179" s="114"/>
      <c r="U179" s="114">
        <v>4</v>
      </c>
    </row>
    <row r="180" spans="1:21">
      <c r="A180" s="128" t="s">
        <v>1656</v>
      </c>
      <c r="B180" s="114">
        <v>5</v>
      </c>
      <c r="C180" s="114">
        <v>3</v>
      </c>
      <c r="D180" t="s">
        <v>935</v>
      </c>
      <c r="E180" s="117" t="s">
        <v>1433</v>
      </c>
      <c r="F180" s="117" t="s">
        <v>785</v>
      </c>
      <c r="G180" s="117" t="s">
        <v>1850</v>
      </c>
      <c r="H180" s="103" t="s">
        <v>1851</v>
      </c>
      <c r="I180" s="103" t="s">
        <v>1494</v>
      </c>
      <c r="R180" s="114"/>
      <c r="U180" s="114">
        <v>7</v>
      </c>
    </row>
    <row r="181" spans="1:21">
      <c r="A181" s="128" t="s">
        <v>1946</v>
      </c>
      <c r="B181" s="114">
        <v>5</v>
      </c>
      <c r="C181" s="114">
        <v>3</v>
      </c>
      <c r="D181" t="s">
        <v>935</v>
      </c>
      <c r="E181" s="117" t="s">
        <v>1433</v>
      </c>
      <c r="F181" s="117" t="s">
        <v>785</v>
      </c>
      <c r="G181" s="117" t="s">
        <v>1850</v>
      </c>
      <c r="H181" s="103" t="s">
        <v>1851</v>
      </c>
      <c r="I181" s="103" t="s">
        <v>1494</v>
      </c>
      <c r="R181" s="114"/>
      <c r="U181" s="114">
        <v>5</v>
      </c>
    </row>
    <row r="182" spans="1:21">
      <c r="A182" s="128" t="s">
        <v>1793</v>
      </c>
      <c r="B182" s="114">
        <v>8</v>
      </c>
      <c r="C182" s="114">
        <v>3</v>
      </c>
      <c r="D182" t="s">
        <v>935</v>
      </c>
      <c r="E182" s="117" t="s">
        <v>1433</v>
      </c>
      <c r="F182" s="117" t="s">
        <v>785</v>
      </c>
      <c r="G182" s="117" t="s">
        <v>1850</v>
      </c>
      <c r="H182" s="103" t="s">
        <v>1851</v>
      </c>
      <c r="I182" s="103" t="s">
        <v>1494</v>
      </c>
      <c r="R182" s="114"/>
      <c r="U182" s="114">
        <v>4</v>
      </c>
    </row>
    <row r="183" spans="1:21">
      <c r="A183" s="128" t="s">
        <v>1954</v>
      </c>
      <c r="B183" s="114">
        <v>6</v>
      </c>
      <c r="C183" s="114">
        <v>3</v>
      </c>
      <c r="D183" t="s">
        <v>935</v>
      </c>
      <c r="E183" s="117" t="s">
        <v>1433</v>
      </c>
      <c r="F183" s="117" t="s">
        <v>785</v>
      </c>
      <c r="G183" s="117" t="s">
        <v>1850</v>
      </c>
      <c r="H183" s="103" t="s">
        <v>1851</v>
      </c>
      <c r="I183" s="103" t="s">
        <v>1494</v>
      </c>
      <c r="R183" s="114"/>
      <c r="U183" s="114">
        <v>5</v>
      </c>
    </row>
    <row r="184" spans="1:21">
      <c r="A184" s="128" t="s">
        <v>1617</v>
      </c>
      <c r="B184" s="114">
        <v>5</v>
      </c>
      <c r="C184" s="114">
        <v>3</v>
      </c>
      <c r="D184" t="s">
        <v>935</v>
      </c>
      <c r="E184" s="117" t="s">
        <v>1433</v>
      </c>
      <c r="F184" s="117" t="s">
        <v>785</v>
      </c>
      <c r="G184" s="117" t="s">
        <v>1850</v>
      </c>
      <c r="H184" s="103" t="s">
        <v>1851</v>
      </c>
      <c r="I184" s="103" t="s">
        <v>1494</v>
      </c>
      <c r="L184" s="117"/>
      <c r="M184" s="118"/>
      <c r="N184" s="117"/>
      <c r="O184" s="103"/>
      <c r="P184" s="103"/>
      <c r="R184" s="114"/>
      <c r="U184" s="114">
        <v>4</v>
      </c>
    </row>
    <row r="185" spans="1:21">
      <c r="A185" s="128" t="s">
        <v>1618</v>
      </c>
      <c r="B185" s="114">
        <v>6</v>
      </c>
      <c r="C185" s="114">
        <v>3</v>
      </c>
      <c r="D185" t="s">
        <v>935</v>
      </c>
      <c r="E185" s="117" t="s">
        <v>1433</v>
      </c>
      <c r="F185" s="117" t="s">
        <v>785</v>
      </c>
      <c r="G185" s="117" t="s">
        <v>1850</v>
      </c>
      <c r="H185" s="103" t="s">
        <v>1851</v>
      </c>
      <c r="I185" s="103" t="s">
        <v>1494</v>
      </c>
      <c r="L185" s="117"/>
      <c r="M185" s="169"/>
      <c r="N185" s="117"/>
      <c r="O185" s="103"/>
      <c r="P185" s="103"/>
      <c r="R185" s="114"/>
      <c r="U185" s="114">
        <v>2</v>
      </c>
    </row>
    <row r="186" spans="1:21">
      <c r="A186" s="128" t="s">
        <v>1646</v>
      </c>
      <c r="B186" s="114">
        <v>5</v>
      </c>
      <c r="C186" s="114">
        <v>3</v>
      </c>
      <c r="D186" t="s">
        <v>956</v>
      </c>
      <c r="E186" s="117" t="s">
        <v>1433</v>
      </c>
      <c r="F186" s="117" t="s">
        <v>785</v>
      </c>
      <c r="G186" s="117" t="s">
        <v>1850</v>
      </c>
      <c r="H186" s="103" t="s">
        <v>1851</v>
      </c>
      <c r="I186" s="103" t="s">
        <v>1494</v>
      </c>
      <c r="L186" s="117"/>
      <c r="M186" s="117"/>
      <c r="N186" s="117"/>
      <c r="O186" s="103"/>
      <c r="P186" s="103"/>
      <c r="R186" s="114"/>
      <c r="U186" s="114">
        <v>3</v>
      </c>
    </row>
    <row r="187" spans="1:21">
      <c r="A187" s="128" t="s">
        <v>2054</v>
      </c>
      <c r="B187" s="114">
        <v>3</v>
      </c>
      <c r="C187" s="114">
        <v>8</v>
      </c>
      <c r="D187" t="s">
        <v>602</v>
      </c>
      <c r="E187" s="117" t="s">
        <v>1046</v>
      </c>
      <c r="F187" s="117" t="s">
        <v>623</v>
      </c>
      <c r="G187" s="117" t="s">
        <v>518</v>
      </c>
      <c r="H187" s="103" t="s">
        <v>1047</v>
      </c>
      <c r="I187" s="103" t="s">
        <v>1882</v>
      </c>
      <c r="L187" s="117"/>
      <c r="M187" s="117"/>
      <c r="N187" s="117"/>
      <c r="O187" s="103"/>
      <c r="P187" s="103"/>
      <c r="R187" s="114"/>
      <c r="U187" s="114">
        <v>2</v>
      </c>
    </row>
    <row r="188" spans="1:21">
      <c r="A188" s="128" t="s">
        <v>830</v>
      </c>
      <c r="B188" s="114">
        <v>3</v>
      </c>
      <c r="C188" s="114">
        <v>8</v>
      </c>
      <c r="D188" t="s">
        <v>602</v>
      </c>
      <c r="E188" s="117" t="s">
        <v>1046</v>
      </c>
      <c r="F188" s="117" t="s">
        <v>623</v>
      </c>
      <c r="G188" s="117" t="s">
        <v>518</v>
      </c>
      <c r="H188" s="103" t="s">
        <v>1047</v>
      </c>
      <c r="I188" s="103" t="s">
        <v>1882</v>
      </c>
      <c r="L188" s="117"/>
      <c r="M188" s="117"/>
      <c r="N188" s="117"/>
      <c r="O188" s="103"/>
      <c r="P188" s="103"/>
      <c r="R188" s="114"/>
      <c r="U188" s="114">
        <v>2</v>
      </c>
    </row>
    <row r="189" spans="1:21">
      <c r="A189" s="128" t="s">
        <v>556</v>
      </c>
      <c r="B189" s="114">
        <v>3</v>
      </c>
      <c r="C189" s="114">
        <v>8</v>
      </c>
      <c r="D189" t="s">
        <v>602</v>
      </c>
      <c r="E189" s="117" t="s">
        <v>1046</v>
      </c>
      <c r="F189" s="117" t="s">
        <v>623</v>
      </c>
      <c r="G189" s="117" t="s">
        <v>518</v>
      </c>
      <c r="H189" s="103" t="s">
        <v>1047</v>
      </c>
      <c r="I189" s="103" t="s">
        <v>1882</v>
      </c>
      <c r="L189" s="117"/>
      <c r="M189" s="117"/>
      <c r="N189" s="117"/>
      <c r="O189" s="103"/>
      <c r="P189" s="103"/>
      <c r="R189" s="114"/>
      <c r="U189" s="114">
        <v>2</v>
      </c>
    </row>
    <row r="190" spans="1:21">
      <c r="A190" s="128" t="s">
        <v>558</v>
      </c>
      <c r="B190" s="114">
        <v>3</v>
      </c>
      <c r="C190" s="114">
        <v>8</v>
      </c>
      <c r="D190" t="s">
        <v>602</v>
      </c>
      <c r="E190" s="117" t="s">
        <v>1046</v>
      </c>
      <c r="F190" s="117" t="s">
        <v>623</v>
      </c>
      <c r="G190" s="117" t="s">
        <v>518</v>
      </c>
      <c r="H190" s="103" t="s">
        <v>1047</v>
      </c>
      <c r="I190" s="103" t="s">
        <v>1882</v>
      </c>
      <c r="L190" s="117"/>
      <c r="M190" s="117"/>
      <c r="N190" s="117"/>
      <c r="O190" s="103"/>
      <c r="P190" s="103"/>
      <c r="R190" s="114"/>
      <c r="U190" s="114">
        <v>2</v>
      </c>
    </row>
    <row r="191" spans="1:21">
      <c r="A191" s="128" t="s">
        <v>1035</v>
      </c>
      <c r="B191" s="114">
        <v>3</v>
      </c>
      <c r="C191" s="114">
        <v>8</v>
      </c>
      <c r="D191" t="s">
        <v>602</v>
      </c>
      <c r="E191" s="117" t="s">
        <v>1046</v>
      </c>
      <c r="F191" s="117" t="s">
        <v>623</v>
      </c>
      <c r="G191" s="117" t="s">
        <v>518</v>
      </c>
      <c r="H191" s="103" t="s">
        <v>1047</v>
      </c>
      <c r="I191" s="103" t="s">
        <v>1882</v>
      </c>
      <c r="L191" s="117"/>
      <c r="M191" s="117"/>
      <c r="N191" s="117"/>
      <c r="O191" s="103"/>
      <c r="P191" s="103"/>
      <c r="R191" s="114"/>
      <c r="U191" s="114">
        <v>2</v>
      </c>
    </row>
    <row r="192" spans="1:21">
      <c r="A192" s="128" t="s">
        <v>1603</v>
      </c>
      <c r="B192" s="114">
        <v>3</v>
      </c>
      <c r="C192" s="114">
        <v>8</v>
      </c>
      <c r="D192" t="s">
        <v>602</v>
      </c>
      <c r="E192" s="117" t="s">
        <v>1046</v>
      </c>
      <c r="F192" s="117" t="s">
        <v>623</v>
      </c>
      <c r="G192" s="117" t="s">
        <v>518</v>
      </c>
      <c r="H192" s="103" t="s">
        <v>1047</v>
      </c>
      <c r="I192" s="103" t="s">
        <v>1882</v>
      </c>
      <c r="L192" s="103"/>
      <c r="M192" s="117"/>
      <c r="N192" s="117"/>
      <c r="O192" s="103"/>
      <c r="P192" s="103"/>
      <c r="R192" s="114"/>
      <c r="U192" s="114">
        <v>2</v>
      </c>
    </row>
    <row r="193" spans="1:21">
      <c r="A193" t="s">
        <v>709</v>
      </c>
      <c r="B193" s="103">
        <v>6</v>
      </c>
      <c r="C193" s="103">
        <v>12</v>
      </c>
      <c r="D193" s="103" t="s">
        <v>1160</v>
      </c>
      <c r="E193" s="117" t="s">
        <v>1664</v>
      </c>
      <c r="F193" s="118" t="s">
        <v>1768</v>
      </c>
      <c r="G193" s="117" t="s">
        <v>622</v>
      </c>
      <c r="H193" s="103" t="s">
        <v>1078</v>
      </c>
      <c r="I193" s="103" t="s">
        <v>1873</v>
      </c>
      <c r="L193" s="103"/>
      <c r="M193" s="117"/>
      <c r="N193" s="117"/>
      <c r="O193" s="103"/>
      <c r="P193" s="103"/>
      <c r="R193" s="114"/>
      <c r="U193" s="114">
        <v>2</v>
      </c>
    </row>
    <row r="194" spans="1:21">
      <c r="A194" t="s">
        <v>1699</v>
      </c>
      <c r="B194" s="103">
        <v>8</v>
      </c>
      <c r="C194" s="103">
        <v>8</v>
      </c>
      <c r="D194" s="103" t="s">
        <v>1160</v>
      </c>
      <c r="E194" s="117" t="s">
        <v>1433</v>
      </c>
      <c r="F194" s="117" t="s">
        <v>1418</v>
      </c>
      <c r="G194" s="117" t="s">
        <v>1769</v>
      </c>
      <c r="H194" s="103" t="s">
        <v>1682</v>
      </c>
      <c r="I194" s="103" t="s">
        <v>1153</v>
      </c>
      <c r="K194" t="s">
        <v>1708</v>
      </c>
      <c r="L194" s="103"/>
      <c r="M194" s="117"/>
      <c r="N194" s="117"/>
      <c r="O194" s="103"/>
      <c r="P194" s="103"/>
      <c r="U194" s="103">
        <v>6</v>
      </c>
    </row>
    <row r="195" spans="1:21">
      <c r="A195" t="s">
        <v>2040</v>
      </c>
      <c r="B195" s="114">
        <v>6</v>
      </c>
      <c r="C195" s="114">
        <v>3</v>
      </c>
      <c r="D195" s="103" t="s">
        <v>713</v>
      </c>
      <c r="E195" s="117" t="s">
        <v>1433</v>
      </c>
      <c r="F195" s="117" t="s">
        <v>785</v>
      </c>
      <c r="G195" s="117" t="s">
        <v>1850</v>
      </c>
      <c r="H195" s="103" t="s">
        <v>1851</v>
      </c>
      <c r="I195" s="103" t="s">
        <v>1494</v>
      </c>
      <c r="K195" t="s">
        <v>1708</v>
      </c>
      <c r="L195" s="103"/>
      <c r="M195" s="117"/>
      <c r="N195" s="117"/>
      <c r="O195" s="103"/>
      <c r="P195" s="103"/>
      <c r="U195" s="103">
        <v>8</v>
      </c>
    </row>
    <row r="196" spans="1:21">
      <c r="A196" t="s">
        <v>1675</v>
      </c>
      <c r="B196" s="114">
        <v>5</v>
      </c>
      <c r="C196" s="114">
        <v>8</v>
      </c>
      <c r="D196" s="103" t="s">
        <v>1299</v>
      </c>
      <c r="E196" s="117" t="s">
        <v>1433</v>
      </c>
      <c r="F196" s="117" t="s">
        <v>622</v>
      </c>
      <c r="G196" s="117" t="s">
        <v>1565</v>
      </c>
      <c r="H196" s="103" t="s">
        <v>1210</v>
      </c>
      <c r="I196" s="103" t="s">
        <v>1211</v>
      </c>
      <c r="R196" s="114"/>
      <c r="U196" s="114">
        <v>5</v>
      </c>
    </row>
    <row r="197" spans="1:21">
      <c r="A197" t="s">
        <v>2013</v>
      </c>
      <c r="B197" s="114">
        <v>9</v>
      </c>
      <c r="C197" s="114">
        <v>0</v>
      </c>
      <c r="D197" s="103" t="s">
        <v>1642</v>
      </c>
      <c r="E197" s="103" t="s">
        <v>803</v>
      </c>
      <c r="F197" s="117" t="s">
        <v>518</v>
      </c>
      <c r="G197" s="117" t="s">
        <v>1010</v>
      </c>
      <c r="H197" s="103" t="s">
        <v>1623</v>
      </c>
      <c r="I197" s="103" t="s">
        <v>1258</v>
      </c>
      <c r="R197" s="114"/>
      <c r="U197" s="114">
        <v>4</v>
      </c>
    </row>
    <row r="198" spans="1:21">
      <c r="A198" t="s">
        <v>1688</v>
      </c>
      <c r="B198" s="114">
        <v>7</v>
      </c>
      <c r="C198" s="114">
        <v>0</v>
      </c>
      <c r="D198" s="103" t="s">
        <v>1643</v>
      </c>
      <c r="E198" s="103" t="s">
        <v>803</v>
      </c>
      <c r="F198" s="117" t="s">
        <v>518</v>
      </c>
      <c r="G198" s="117" t="s">
        <v>1470</v>
      </c>
      <c r="H198" s="103" t="s">
        <v>944</v>
      </c>
      <c r="I198" s="103" t="s">
        <v>1494</v>
      </c>
      <c r="R198" s="114"/>
      <c r="U198" s="114">
        <v>8</v>
      </c>
    </row>
    <row r="199" spans="1:21">
      <c r="A199" t="s">
        <v>1331</v>
      </c>
      <c r="B199" s="114">
        <v>8</v>
      </c>
      <c r="C199" s="114">
        <v>0</v>
      </c>
      <c r="D199" s="103" t="s">
        <v>1383</v>
      </c>
      <c r="E199" s="103" t="s">
        <v>803</v>
      </c>
      <c r="F199" s="117" t="s">
        <v>518</v>
      </c>
      <c r="G199" s="117" t="s">
        <v>1010</v>
      </c>
      <c r="H199" s="103" t="s">
        <v>1494</v>
      </c>
      <c r="I199" s="103" t="s">
        <v>1011</v>
      </c>
      <c r="R199" s="114"/>
      <c r="U199" s="114">
        <v>6</v>
      </c>
    </row>
    <row r="200" spans="1:21">
      <c r="A200" t="s">
        <v>1179</v>
      </c>
      <c r="B200" s="114">
        <v>3</v>
      </c>
      <c r="C200" s="114">
        <v>15</v>
      </c>
      <c r="D200" s="103" t="s">
        <v>1161</v>
      </c>
      <c r="E200" s="117" t="s">
        <v>1046</v>
      </c>
      <c r="F200" s="117" t="s">
        <v>623</v>
      </c>
      <c r="G200" s="117" t="s">
        <v>518</v>
      </c>
      <c r="H200" s="103" t="s">
        <v>1047</v>
      </c>
      <c r="I200" s="103" t="s">
        <v>1882</v>
      </c>
      <c r="R200" s="114"/>
      <c r="U200" s="114">
        <v>7</v>
      </c>
    </row>
    <row r="201" spans="1:21">
      <c r="A201" t="s">
        <v>477</v>
      </c>
      <c r="B201" s="114">
        <v>4</v>
      </c>
      <c r="C201" s="114">
        <v>11</v>
      </c>
      <c r="D201" s="103" t="s">
        <v>1299</v>
      </c>
      <c r="E201" s="117" t="s">
        <v>1046</v>
      </c>
      <c r="F201" s="117" t="s">
        <v>623</v>
      </c>
      <c r="G201" s="117" t="s">
        <v>518</v>
      </c>
      <c r="H201" s="103" t="s">
        <v>1047</v>
      </c>
      <c r="I201" s="103" t="s">
        <v>1882</v>
      </c>
      <c r="R201" s="114"/>
      <c r="U201" s="114">
        <v>2</v>
      </c>
    </row>
    <row r="202" spans="1:21">
      <c r="A202" t="s">
        <v>940</v>
      </c>
      <c r="B202" s="114">
        <v>6</v>
      </c>
      <c r="C202" s="114">
        <v>3</v>
      </c>
      <c r="D202" s="103" t="s">
        <v>713</v>
      </c>
      <c r="E202" s="117" t="s">
        <v>1433</v>
      </c>
      <c r="F202" s="117" t="s">
        <v>785</v>
      </c>
      <c r="G202" s="117" t="s">
        <v>1850</v>
      </c>
      <c r="H202" s="103" t="s">
        <v>1851</v>
      </c>
      <c r="I202" s="103" t="s">
        <v>1494</v>
      </c>
      <c r="R202" s="114"/>
      <c r="U202" s="114">
        <v>3</v>
      </c>
    </row>
    <row r="203" spans="1:21">
      <c r="A203" t="s">
        <v>1036</v>
      </c>
      <c r="B203" s="114">
        <v>7</v>
      </c>
      <c r="C203" s="114">
        <v>3</v>
      </c>
      <c r="D203" s="103" t="s">
        <v>713</v>
      </c>
      <c r="E203" s="117" t="s">
        <v>1433</v>
      </c>
      <c r="F203" s="117" t="s">
        <v>785</v>
      </c>
      <c r="G203" s="117" t="s">
        <v>1850</v>
      </c>
      <c r="H203" s="103" t="s">
        <v>1851</v>
      </c>
      <c r="I203" s="103" t="s">
        <v>1494</v>
      </c>
      <c r="R203" s="114"/>
      <c r="U203" s="114">
        <v>3</v>
      </c>
    </row>
    <row r="204" spans="1:21">
      <c r="A204" t="s">
        <v>599</v>
      </c>
      <c r="B204" s="114">
        <v>6</v>
      </c>
      <c r="C204" s="114">
        <v>8</v>
      </c>
      <c r="D204" s="103" t="s">
        <v>1299</v>
      </c>
      <c r="E204" s="117" t="s">
        <v>1433</v>
      </c>
      <c r="F204" s="117" t="s">
        <v>622</v>
      </c>
      <c r="G204" s="117" t="s">
        <v>1565</v>
      </c>
      <c r="H204" s="103" t="s">
        <v>1210</v>
      </c>
      <c r="I204" s="103" t="s">
        <v>1211</v>
      </c>
      <c r="R204" s="114"/>
      <c r="U204" s="114">
        <v>6</v>
      </c>
    </row>
    <row r="205" spans="1:21">
      <c r="A205" t="s">
        <v>606</v>
      </c>
      <c r="B205" s="114">
        <v>10</v>
      </c>
      <c r="C205" s="114">
        <v>0</v>
      </c>
      <c r="D205" s="103" t="s">
        <v>1183</v>
      </c>
      <c r="E205" s="103" t="s">
        <v>803</v>
      </c>
      <c r="F205" s="117" t="s">
        <v>518</v>
      </c>
      <c r="G205" s="117" t="s">
        <v>1010</v>
      </c>
      <c r="H205" s="103" t="s">
        <v>1623</v>
      </c>
      <c r="I205" s="103" t="s">
        <v>1258</v>
      </c>
      <c r="R205" s="114"/>
      <c r="U205" s="114">
        <v>5</v>
      </c>
    </row>
    <row r="206" spans="1:21">
      <c r="A206" t="s">
        <v>1030</v>
      </c>
      <c r="B206" s="114">
        <v>8</v>
      </c>
      <c r="C206" s="114">
        <v>0</v>
      </c>
      <c r="D206" s="103" t="s">
        <v>1828</v>
      </c>
      <c r="E206" s="103" t="s">
        <v>803</v>
      </c>
      <c r="F206" s="117" t="s">
        <v>518</v>
      </c>
      <c r="G206" s="117" t="s">
        <v>1470</v>
      </c>
      <c r="H206" s="103" t="s">
        <v>944</v>
      </c>
      <c r="I206" s="103" t="s">
        <v>1494</v>
      </c>
      <c r="R206" s="114"/>
      <c r="U206" s="114">
        <v>9</v>
      </c>
    </row>
    <row r="207" spans="1:21">
      <c r="A207" t="s">
        <v>1807</v>
      </c>
      <c r="B207" s="114">
        <v>9</v>
      </c>
      <c r="C207" s="114">
        <v>0</v>
      </c>
      <c r="D207" s="103" t="s">
        <v>1182</v>
      </c>
      <c r="E207" s="103" t="s">
        <v>803</v>
      </c>
      <c r="F207" s="117" t="s">
        <v>518</v>
      </c>
      <c r="G207" s="117" t="s">
        <v>1010</v>
      </c>
      <c r="H207" s="103" t="s">
        <v>1494</v>
      </c>
      <c r="I207" s="103" t="s">
        <v>1011</v>
      </c>
      <c r="R207" s="114"/>
      <c r="U207" s="114">
        <v>7</v>
      </c>
    </row>
    <row r="208" spans="1:21">
      <c r="A208" t="s">
        <v>1802</v>
      </c>
      <c r="B208" s="114">
        <v>5</v>
      </c>
      <c r="C208" s="114">
        <v>11</v>
      </c>
      <c r="D208" s="103" t="s">
        <v>1299</v>
      </c>
      <c r="E208" s="117" t="s">
        <v>1046</v>
      </c>
      <c r="F208" s="117" t="s">
        <v>623</v>
      </c>
      <c r="G208" s="117" t="s">
        <v>518</v>
      </c>
      <c r="H208" s="103" t="s">
        <v>1047</v>
      </c>
      <c r="I208" s="103" t="s">
        <v>1882</v>
      </c>
      <c r="R208" s="114"/>
      <c r="U208" s="114">
        <v>8</v>
      </c>
    </row>
    <row r="209" spans="1:21">
      <c r="A209" t="s">
        <v>674</v>
      </c>
      <c r="B209" s="114">
        <v>7</v>
      </c>
      <c r="C209" s="114">
        <v>3</v>
      </c>
      <c r="D209" s="103" t="s">
        <v>713</v>
      </c>
      <c r="E209" s="117" t="s">
        <v>1433</v>
      </c>
      <c r="F209" s="117" t="s">
        <v>785</v>
      </c>
      <c r="G209" s="117" t="s">
        <v>1850</v>
      </c>
      <c r="H209" s="103" t="s">
        <v>1851</v>
      </c>
      <c r="I209" s="103" t="s">
        <v>1494</v>
      </c>
      <c r="R209" s="114"/>
      <c r="U209" s="114">
        <v>4</v>
      </c>
    </row>
    <row r="210" spans="1:21">
      <c r="A210" t="s">
        <v>1004</v>
      </c>
      <c r="B210" s="114">
        <v>7</v>
      </c>
      <c r="C210" s="114">
        <v>3</v>
      </c>
      <c r="D210" s="103" t="s">
        <v>713</v>
      </c>
      <c r="E210" s="117" t="s">
        <v>1433</v>
      </c>
      <c r="F210" s="117" t="s">
        <v>785</v>
      </c>
      <c r="G210" s="117" t="s">
        <v>1850</v>
      </c>
      <c r="H210" s="103" t="s">
        <v>1851</v>
      </c>
      <c r="I210" s="103" t="s">
        <v>1494</v>
      </c>
      <c r="R210" s="114"/>
      <c r="U210" s="114">
        <v>6</v>
      </c>
    </row>
    <row r="211" spans="1:21">
      <c r="A211" t="s">
        <v>1171</v>
      </c>
      <c r="B211" s="114">
        <v>6</v>
      </c>
      <c r="C211" s="114">
        <v>8</v>
      </c>
      <c r="D211" s="103" t="s">
        <v>1299</v>
      </c>
      <c r="E211" s="117" t="s">
        <v>1433</v>
      </c>
      <c r="F211" s="117" t="s">
        <v>622</v>
      </c>
      <c r="G211" s="117" t="s">
        <v>1565</v>
      </c>
      <c r="H211" s="103" t="s">
        <v>1210</v>
      </c>
      <c r="I211" s="103" t="s">
        <v>1211</v>
      </c>
      <c r="R211" s="114"/>
      <c r="U211" s="114">
        <v>6</v>
      </c>
    </row>
    <row r="212" spans="1:21">
      <c r="A212" t="s">
        <v>503</v>
      </c>
      <c r="B212" s="114">
        <v>10</v>
      </c>
      <c r="C212" s="114">
        <v>0</v>
      </c>
      <c r="D212" s="103" t="s">
        <v>1642</v>
      </c>
      <c r="E212" s="103" t="s">
        <v>803</v>
      </c>
      <c r="F212" s="117" t="s">
        <v>518</v>
      </c>
      <c r="G212" s="117" t="s">
        <v>1010</v>
      </c>
      <c r="H212" s="103" t="s">
        <v>1623</v>
      </c>
      <c r="I212" s="103" t="s">
        <v>1258</v>
      </c>
      <c r="R212" s="114"/>
      <c r="U212" s="114">
        <v>5</v>
      </c>
    </row>
    <row r="213" spans="1:21">
      <c r="A213" t="s">
        <v>543</v>
      </c>
      <c r="B213" s="114">
        <v>8</v>
      </c>
      <c r="C213" s="114">
        <v>0</v>
      </c>
      <c r="D213" s="103" t="s">
        <v>1643</v>
      </c>
      <c r="E213" s="103" t="s">
        <v>803</v>
      </c>
      <c r="F213" s="117" t="s">
        <v>518</v>
      </c>
      <c r="G213" s="117" t="s">
        <v>1470</v>
      </c>
      <c r="H213" s="103" t="s">
        <v>944</v>
      </c>
      <c r="I213" s="103" t="s">
        <v>1494</v>
      </c>
      <c r="R213" s="114"/>
      <c r="U213" s="114">
        <v>9</v>
      </c>
    </row>
    <row r="214" spans="1:21">
      <c r="A214" t="s">
        <v>1498</v>
      </c>
      <c r="B214" s="114">
        <v>9</v>
      </c>
      <c r="C214" s="114">
        <v>0</v>
      </c>
      <c r="D214" s="103" t="s">
        <v>1383</v>
      </c>
      <c r="E214" s="103" t="s">
        <v>803</v>
      </c>
      <c r="F214" s="117" t="s">
        <v>518</v>
      </c>
      <c r="G214" s="117" t="s">
        <v>1010</v>
      </c>
      <c r="H214" s="103" t="s">
        <v>1494</v>
      </c>
      <c r="I214" s="103" t="s">
        <v>1011</v>
      </c>
      <c r="R214" s="114"/>
      <c r="U214" s="114">
        <v>7</v>
      </c>
    </row>
    <row r="215" spans="1:21">
      <c r="A215" t="s">
        <v>1121</v>
      </c>
      <c r="B215" s="114">
        <v>4</v>
      </c>
      <c r="C215" s="114">
        <v>15</v>
      </c>
      <c r="D215" s="103" t="s">
        <v>1161</v>
      </c>
      <c r="E215" s="117" t="s">
        <v>1046</v>
      </c>
      <c r="F215" s="117" t="s">
        <v>623</v>
      </c>
      <c r="G215" s="117" t="s">
        <v>518</v>
      </c>
      <c r="H215" s="103" t="s">
        <v>1047</v>
      </c>
      <c r="I215" s="103" t="s">
        <v>1882</v>
      </c>
      <c r="R215" s="114"/>
      <c r="U215" s="114">
        <v>7</v>
      </c>
    </row>
    <row r="216" spans="1:21">
      <c r="A216" t="s">
        <v>1696</v>
      </c>
      <c r="B216" s="114">
        <v>5</v>
      </c>
      <c r="C216" s="114">
        <v>11</v>
      </c>
      <c r="D216" s="103" t="s">
        <v>1299</v>
      </c>
      <c r="E216" s="117" t="s">
        <v>1046</v>
      </c>
      <c r="F216" s="117" t="s">
        <v>623</v>
      </c>
      <c r="G216" s="117" t="s">
        <v>518</v>
      </c>
      <c r="H216" s="103" t="s">
        <v>1047</v>
      </c>
      <c r="I216" s="103" t="s">
        <v>1882</v>
      </c>
      <c r="R216" s="114"/>
      <c r="U216" s="114">
        <v>3</v>
      </c>
    </row>
    <row r="217" spans="1:21">
      <c r="A217" t="s">
        <v>1953</v>
      </c>
      <c r="B217" s="114">
        <v>7</v>
      </c>
      <c r="C217" s="114">
        <v>3</v>
      </c>
      <c r="D217" s="103" t="s">
        <v>713</v>
      </c>
      <c r="E217" s="117" t="s">
        <v>1433</v>
      </c>
      <c r="F217" s="117" t="s">
        <v>785</v>
      </c>
      <c r="G217" s="117" t="s">
        <v>1850</v>
      </c>
      <c r="H217" s="103" t="s">
        <v>1851</v>
      </c>
      <c r="I217" s="103" t="s">
        <v>1494</v>
      </c>
      <c r="R217" s="114"/>
      <c r="U217" s="114">
        <v>4</v>
      </c>
    </row>
    <row r="218" spans="1:21">
      <c r="A218" t="s">
        <v>982</v>
      </c>
      <c r="B218" s="114">
        <v>8</v>
      </c>
      <c r="C218" s="114">
        <v>3</v>
      </c>
      <c r="D218" s="103" t="s">
        <v>713</v>
      </c>
      <c r="E218" s="117" t="s">
        <v>1433</v>
      </c>
      <c r="F218" s="117" t="s">
        <v>785</v>
      </c>
      <c r="G218" s="117" t="s">
        <v>1850</v>
      </c>
      <c r="H218" s="103" t="s">
        <v>1851</v>
      </c>
      <c r="I218" s="103" t="s">
        <v>1494</v>
      </c>
      <c r="R218" s="114"/>
      <c r="U218" s="114">
        <v>6</v>
      </c>
    </row>
    <row r="219" spans="1:21">
      <c r="A219" t="s">
        <v>1608</v>
      </c>
      <c r="B219" s="114">
        <v>7</v>
      </c>
      <c r="C219" s="114">
        <v>8</v>
      </c>
      <c r="D219" s="103" t="s">
        <v>1299</v>
      </c>
      <c r="E219" s="117" t="s">
        <v>1433</v>
      </c>
      <c r="F219" s="117" t="s">
        <v>622</v>
      </c>
      <c r="G219" s="117" t="s">
        <v>1565</v>
      </c>
      <c r="H219" s="103" t="s">
        <v>1210</v>
      </c>
      <c r="I219" s="103" t="s">
        <v>1211</v>
      </c>
      <c r="R219" s="114"/>
      <c r="U219" s="114">
        <v>7</v>
      </c>
    </row>
    <row r="220" spans="1:21">
      <c r="A220" t="s">
        <v>1576</v>
      </c>
      <c r="B220" s="114">
        <v>11</v>
      </c>
      <c r="C220" s="114">
        <v>0</v>
      </c>
      <c r="D220" s="103" t="s">
        <v>1183</v>
      </c>
      <c r="E220" s="103" t="s">
        <v>803</v>
      </c>
      <c r="F220" s="117" t="s">
        <v>518</v>
      </c>
      <c r="G220" s="117" t="s">
        <v>1010</v>
      </c>
      <c r="H220" s="103" t="s">
        <v>1623</v>
      </c>
      <c r="I220" s="103" t="s">
        <v>1258</v>
      </c>
      <c r="R220" s="114"/>
      <c r="U220" s="114">
        <v>6</v>
      </c>
    </row>
    <row r="221" spans="1:21">
      <c r="A221" t="s">
        <v>707</v>
      </c>
      <c r="B221" s="114">
        <v>9</v>
      </c>
      <c r="C221" s="114">
        <v>0</v>
      </c>
      <c r="D221" s="103" t="s">
        <v>1828</v>
      </c>
      <c r="E221" s="103" t="s">
        <v>803</v>
      </c>
      <c r="F221" s="117" t="s">
        <v>518</v>
      </c>
      <c r="G221" s="117" t="s">
        <v>1470</v>
      </c>
      <c r="H221" s="103" t="s">
        <v>944</v>
      </c>
      <c r="I221" s="103" t="s">
        <v>1494</v>
      </c>
      <c r="R221" s="114"/>
      <c r="U221" s="114">
        <v>10</v>
      </c>
    </row>
    <row r="222" spans="1:21">
      <c r="A222" t="s">
        <v>708</v>
      </c>
      <c r="B222" s="114">
        <v>10</v>
      </c>
      <c r="C222" s="114">
        <v>0</v>
      </c>
      <c r="D222" s="103" t="s">
        <v>1182</v>
      </c>
      <c r="E222" s="103" t="s">
        <v>803</v>
      </c>
      <c r="F222" s="117" t="s">
        <v>518</v>
      </c>
      <c r="G222" s="117" t="s">
        <v>1010</v>
      </c>
      <c r="H222" s="103" t="s">
        <v>1494</v>
      </c>
      <c r="I222" s="103" t="s">
        <v>1011</v>
      </c>
      <c r="R222" s="114"/>
      <c r="U222" s="114">
        <v>8</v>
      </c>
    </row>
    <row r="223" spans="1:21">
      <c r="A223" t="s">
        <v>517</v>
      </c>
      <c r="B223" s="114">
        <v>6</v>
      </c>
      <c r="C223" s="114">
        <v>11</v>
      </c>
      <c r="D223" s="103" t="s">
        <v>1299</v>
      </c>
      <c r="E223" s="117" t="s">
        <v>1046</v>
      </c>
      <c r="F223" s="117" t="s">
        <v>623</v>
      </c>
      <c r="G223" s="117" t="s">
        <v>518</v>
      </c>
      <c r="H223" s="103" t="s">
        <v>1047</v>
      </c>
      <c r="I223" s="103" t="s">
        <v>1882</v>
      </c>
      <c r="R223" s="114"/>
      <c r="U223" s="114">
        <v>9</v>
      </c>
    </row>
    <row r="224" spans="1:21">
      <c r="A224" t="s">
        <v>739</v>
      </c>
      <c r="B224" s="114">
        <v>8</v>
      </c>
      <c r="C224" s="114">
        <v>3</v>
      </c>
      <c r="D224" s="103" t="s">
        <v>713</v>
      </c>
      <c r="E224" s="117" t="s">
        <v>1433</v>
      </c>
      <c r="F224" s="117" t="s">
        <v>785</v>
      </c>
      <c r="G224" s="117" t="s">
        <v>1850</v>
      </c>
      <c r="H224" s="103" t="s">
        <v>1851</v>
      </c>
      <c r="I224" s="103" t="s">
        <v>1494</v>
      </c>
      <c r="R224" s="114"/>
      <c r="U224" s="114">
        <v>5</v>
      </c>
    </row>
    <row r="225" spans="1:21">
      <c r="A225" t="s">
        <v>868</v>
      </c>
      <c r="B225" s="114">
        <v>8</v>
      </c>
      <c r="C225" s="114">
        <v>3</v>
      </c>
      <c r="D225" s="103" t="s">
        <v>713</v>
      </c>
      <c r="E225" s="117" t="s">
        <v>1433</v>
      </c>
      <c r="F225" s="117" t="s">
        <v>785</v>
      </c>
      <c r="G225" s="117" t="s">
        <v>1850</v>
      </c>
      <c r="H225" s="103" t="s">
        <v>1851</v>
      </c>
      <c r="I225" s="103" t="s">
        <v>1494</v>
      </c>
      <c r="R225" s="114"/>
      <c r="U225" s="114">
        <v>7</v>
      </c>
    </row>
    <row r="226" spans="1:21">
      <c r="A226" t="s">
        <v>1027</v>
      </c>
      <c r="B226" s="114">
        <v>7</v>
      </c>
      <c r="C226" s="114">
        <v>8</v>
      </c>
      <c r="D226" s="103" t="s">
        <v>1299</v>
      </c>
      <c r="E226" s="117" t="s">
        <v>1433</v>
      </c>
      <c r="F226" s="117" t="s">
        <v>622</v>
      </c>
      <c r="G226" s="117" t="s">
        <v>1565</v>
      </c>
      <c r="H226" s="103" t="s">
        <v>1210</v>
      </c>
      <c r="I226" s="103" t="s">
        <v>1211</v>
      </c>
      <c r="R226" s="114"/>
      <c r="U226" s="114">
        <v>7</v>
      </c>
    </row>
    <row r="227" spans="1:21">
      <c r="A227" t="s">
        <v>874</v>
      </c>
      <c r="B227" s="114">
        <v>11</v>
      </c>
      <c r="C227" s="114">
        <v>0</v>
      </c>
      <c r="D227" s="103" t="s">
        <v>1642</v>
      </c>
      <c r="E227" s="103" t="s">
        <v>803</v>
      </c>
      <c r="F227" s="117" t="s">
        <v>518</v>
      </c>
      <c r="G227" s="117" t="s">
        <v>1010</v>
      </c>
      <c r="H227" s="103" t="s">
        <v>1623</v>
      </c>
      <c r="I227" s="103" t="s">
        <v>1258</v>
      </c>
      <c r="R227" s="114"/>
      <c r="U227" s="114">
        <v>6</v>
      </c>
    </row>
    <row r="228" spans="1:21">
      <c r="A228" t="s">
        <v>1283</v>
      </c>
      <c r="B228" s="114">
        <v>9</v>
      </c>
      <c r="C228" s="114">
        <v>0</v>
      </c>
      <c r="D228" s="103" t="s">
        <v>1643</v>
      </c>
      <c r="E228" s="103" t="s">
        <v>803</v>
      </c>
      <c r="F228" s="117" t="s">
        <v>518</v>
      </c>
      <c r="G228" s="117" t="s">
        <v>1470</v>
      </c>
      <c r="H228" s="103" t="s">
        <v>944</v>
      </c>
      <c r="I228" s="103" t="s">
        <v>1494</v>
      </c>
      <c r="L228" s="117"/>
      <c r="M228" s="118"/>
      <c r="N228" s="117"/>
      <c r="O228" s="103"/>
      <c r="P228" s="103"/>
      <c r="R228" s="114"/>
      <c r="U228" s="114">
        <v>10</v>
      </c>
    </row>
    <row r="229" spans="1:21">
      <c r="A229" t="s">
        <v>1284</v>
      </c>
      <c r="B229" s="114">
        <v>10</v>
      </c>
      <c r="C229" s="114">
        <v>0</v>
      </c>
      <c r="D229" s="103" t="s">
        <v>1383</v>
      </c>
      <c r="E229" s="103" t="s">
        <v>803</v>
      </c>
      <c r="F229" s="117" t="s">
        <v>518</v>
      </c>
      <c r="G229" s="117" t="s">
        <v>1010</v>
      </c>
      <c r="H229" s="103" t="s">
        <v>1494</v>
      </c>
      <c r="I229" s="103" t="s">
        <v>1011</v>
      </c>
      <c r="L229" s="117"/>
      <c r="M229" s="117"/>
      <c r="N229" s="117"/>
      <c r="O229" s="103"/>
      <c r="P229" s="103"/>
      <c r="R229" s="114"/>
      <c r="U229" s="114">
        <v>8</v>
      </c>
    </row>
    <row r="230" spans="1:21">
      <c r="A230" t="s">
        <v>1083</v>
      </c>
      <c r="B230" s="114">
        <v>5</v>
      </c>
      <c r="C230" s="114">
        <v>15</v>
      </c>
      <c r="D230" s="103" t="s">
        <v>1161</v>
      </c>
      <c r="E230" s="117" t="s">
        <v>1046</v>
      </c>
      <c r="F230" s="117" t="s">
        <v>623</v>
      </c>
      <c r="G230" s="117" t="s">
        <v>518</v>
      </c>
      <c r="H230" s="103" t="s">
        <v>1047</v>
      </c>
      <c r="I230" s="103" t="s">
        <v>1882</v>
      </c>
      <c r="L230" s="117"/>
      <c r="M230" s="117"/>
      <c r="N230" s="117"/>
      <c r="O230" s="103"/>
      <c r="P230" s="103"/>
      <c r="R230" s="114"/>
      <c r="U230" s="114">
        <v>9</v>
      </c>
    </row>
    <row r="231" spans="1:21">
      <c r="A231" t="s">
        <v>715</v>
      </c>
      <c r="B231" s="114">
        <v>6</v>
      </c>
      <c r="C231" s="114">
        <v>11</v>
      </c>
      <c r="D231" s="103" t="s">
        <v>1299</v>
      </c>
      <c r="E231" s="117" t="s">
        <v>1046</v>
      </c>
      <c r="F231" s="117" t="s">
        <v>623</v>
      </c>
      <c r="G231" s="117" t="s">
        <v>518</v>
      </c>
      <c r="H231" s="103" t="s">
        <v>1047</v>
      </c>
      <c r="I231" s="103" t="s">
        <v>1882</v>
      </c>
      <c r="L231" s="117"/>
      <c r="M231" s="117"/>
      <c r="N231" s="117"/>
      <c r="O231" s="103"/>
      <c r="P231" s="103"/>
      <c r="R231" s="114"/>
      <c r="U231" s="114">
        <v>4</v>
      </c>
    </row>
    <row r="232" spans="1:21">
      <c r="A232" t="s">
        <v>865</v>
      </c>
      <c r="B232" s="114">
        <v>8</v>
      </c>
      <c r="C232" s="114">
        <v>3</v>
      </c>
      <c r="D232" s="103" t="s">
        <v>713</v>
      </c>
      <c r="E232" s="117" t="s">
        <v>1433</v>
      </c>
      <c r="F232" s="117" t="s">
        <v>785</v>
      </c>
      <c r="G232" s="117" t="s">
        <v>1850</v>
      </c>
      <c r="H232" s="103" t="s">
        <v>1851</v>
      </c>
      <c r="I232" s="103" t="s">
        <v>1494</v>
      </c>
      <c r="L232" s="117"/>
      <c r="M232" s="117"/>
      <c r="N232" s="117"/>
      <c r="O232" s="103"/>
      <c r="P232" s="103"/>
      <c r="R232" s="114"/>
      <c r="U232" s="114">
        <v>5</v>
      </c>
    </row>
    <row r="233" spans="1:21">
      <c r="A233" t="s">
        <v>906</v>
      </c>
      <c r="B233" s="114">
        <v>9</v>
      </c>
      <c r="C233" s="114">
        <v>3</v>
      </c>
      <c r="D233" s="103" t="s">
        <v>713</v>
      </c>
      <c r="E233" s="117" t="s">
        <v>1433</v>
      </c>
      <c r="F233" s="117" t="s">
        <v>785</v>
      </c>
      <c r="G233" s="117" t="s">
        <v>1850</v>
      </c>
      <c r="H233" s="103" t="s">
        <v>1851</v>
      </c>
      <c r="I233" s="103" t="s">
        <v>1494</v>
      </c>
      <c r="L233" s="117"/>
      <c r="M233" s="117"/>
      <c r="N233" s="117"/>
      <c r="O233" s="103"/>
      <c r="P233" s="103"/>
      <c r="R233" s="114"/>
      <c r="U233" s="114">
        <v>7</v>
      </c>
    </row>
    <row r="234" spans="1:21">
      <c r="A234" t="s">
        <v>1245</v>
      </c>
      <c r="B234" s="114">
        <v>8</v>
      </c>
      <c r="C234" s="114">
        <v>8</v>
      </c>
      <c r="D234" s="103" t="s">
        <v>1299</v>
      </c>
      <c r="E234" s="117" t="s">
        <v>1433</v>
      </c>
      <c r="F234" s="117" t="s">
        <v>622</v>
      </c>
      <c r="G234" s="117" t="s">
        <v>1565</v>
      </c>
      <c r="H234" s="103" t="s">
        <v>1210</v>
      </c>
      <c r="I234" s="103" t="s">
        <v>1211</v>
      </c>
      <c r="L234" s="117"/>
      <c r="M234" s="117"/>
      <c r="N234" s="117"/>
      <c r="O234" s="103"/>
      <c r="P234" s="103"/>
      <c r="R234" s="114"/>
      <c r="U234" s="114">
        <v>8</v>
      </c>
    </row>
    <row r="235" spans="1:21">
      <c r="A235" t="s">
        <v>730</v>
      </c>
      <c r="B235" s="114">
        <v>12</v>
      </c>
      <c r="C235" s="114">
        <v>0</v>
      </c>
      <c r="D235" s="103" t="s">
        <v>1183</v>
      </c>
      <c r="E235" s="103" t="s">
        <v>803</v>
      </c>
      <c r="F235" s="117" t="s">
        <v>518</v>
      </c>
      <c r="G235" s="117" t="s">
        <v>1010</v>
      </c>
      <c r="H235" s="103" t="s">
        <v>1623</v>
      </c>
      <c r="I235" s="103" t="s">
        <v>1258</v>
      </c>
      <c r="L235" s="103"/>
      <c r="M235" s="117"/>
      <c r="N235" s="117"/>
      <c r="O235" s="103"/>
      <c r="P235" s="103"/>
      <c r="R235" s="114"/>
      <c r="U235" s="114">
        <v>7</v>
      </c>
    </row>
    <row r="236" spans="1:21">
      <c r="A236" t="s">
        <v>837</v>
      </c>
      <c r="B236" s="114">
        <v>10</v>
      </c>
      <c r="C236" s="114">
        <v>0</v>
      </c>
      <c r="D236" s="103" t="s">
        <v>1828</v>
      </c>
      <c r="E236" s="103" t="s">
        <v>803</v>
      </c>
      <c r="F236" s="117" t="s">
        <v>518</v>
      </c>
      <c r="G236" s="117" t="s">
        <v>1470</v>
      </c>
      <c r="H236" s="103" t="s">
        <v>944</v>
      </c>
      <c r="I236" s="103" t="s">
        <v>1494</v>
      </c>
      <c r="L236" s="103"/>
      <c r="M236" s="117"/>
      <c r="N236" s="117"/>
      <c r="O236" s="103"/>
      <c r="P236" s="103"/>
      <c r="R236" s="114"/>
      <c r="U236" s="114">
        <v>11</v>
      </c>
    </row>
    <row r="237" spans="1:21">
      <c r="A237" t="s">
        <v>1181</v>
      </c>
      <c r="B237" s="114">
        <v>11</v>
      </c>
      <c r="C237" s="114">
        <v>0</v>
      </c>
      <c r="D237" s="103" t="s">
        <v>1182</v>
      </c>
      <c r="E237" s="103" t="s">
        <v>803</v>
      </c>
      <c r="F237" s="117" t="s">
        <v>518</v>
      </c>
      <c r="G237" s="117" t="s">
        <v>1010</v>
      </c>
      <c r="H237" s="103" t="s">
        <v>1494</v>
      </c>
      <c r="I237" s="103" t="s">
        <v>1011</v>
      </c>
      <c r="L237" s="103"/>
      <c r="M237" s="117"/>
      <c r="N237" s="117"/>
      <c r="O237" s="103"/>
      <c r="P237" s="103"/>
      <c r="R237" s="114"/>
      <c r="U237" s="114">
        <v>9</v>
      </c>
    </row>
    <row r="238" spans="1:21">
      <c r="A238" t="s">
        <v>1606</v>
      </c>
      <c r="B238" s="114">
        <v>7</v>
      </c>
      <c r="C238" s="114">
        <v>11</v>
      </c>
      <c r="D238" s="103" t="s">
        <v>1299</v>
      </c>
      <c r="E238" s="117" t="s">
        <v>1046</v>
      </c>
      <c r="F238" s="117" t="s">
        <v>623</v>
      </c>
      <c r="G238" s="117" t="s">
        <v>518</v>
      </c>
      <c r="H238" s="103" t="s">
        <v>1047</v>
      </c>
      <c r="I238" s="103" t="s">
        <v>1882</v>
      </c>
      <c r="L238" s="103"/>
      <c r="M238" s="117"/>
      <c r="N238" s="117"/>
      <c r="O238" s="103"/>
      <c r="P238" s="103"/>
      <c r="R238" s="114"/>
      <c r="U238" s="114">
        <v>10</v>
      </c>
    </row>
    <row r="239" spans="1:21">
      <c r="A239" t="s">
        <v>1335</v>
      </c>
      <c r="B239" s="114">
        <v>9</v>
      </c>
      <c r="C239" s="114">
        <v>3</v>
      </c>
      <c r="D239" s="103" t="s">
        <v>713</v>
      </c>
      <c r="E239" s="117" t="s">
        <v>1433</v>
      </c>
      <c r="F239" s="117" t="s">
        <v>785</v>
      </c>
      <c r="G239" s="117" t="s">
        <v>1850</v>
      </c>
      <c r="H239" s="103" t="s">
        <v>1851</v>
      </c>
      <c r="I239" s="103" t="s">
        <v>1494</v>
      </c>
      <c r="L239" s="103"/>
      <c r="M239" s="117"/>
      <c r="N239" s="117"/>
      <c r="O239" s="103"/>
      <c r="P239" s="103"/>
      <c r="R239" s="114"/>
      <c r="U239" s="114">
        <v>6</v>
      </c>
    </row>
    <row r="240" spans="1:21">
      <c r="A240" t="s">
        <v>2041</v>
      </c>
      <c r="B240" s="114">
        <v>9</v>
      </c>
      <c r="C240" s="114">
        <v>3</v>
      </c>
      <c r="D240" s="103" t="s">
        <v>713</v>
      </c>
      <c r="E240" s="117" t="s">
        <v>1433</v>
      </c>
      <c r="F240" s="117" t="s">
        <v>785</v>
      </c>
      <c r="G240" s="117" t="s">
        <v>1850</v>
      </c>
      <c r="H240" s="103" t="s">
        <v>1851</v>
      </c>
      <c r="I240" s="103" t="s">
        <v>1494</v>
      </c>
      <c r="L240" s="103"/>
      <c r="M240" s="117"/>
      <c r="N240" s="117"/>
      <c r="O240" s="103"/>
      <c r="P240" s="103"/>
      <c r="R240" s="114"/>
      <c r="U240" s="114">
        <v>8</v>
      </c>
    </row>
    <row r="241" spans="1:21">
      <c r="A241" t="s">
        <v>1364</v>
      </c>
      <c r="B241" s="114">
        <v>8</v>
      </c>
      <c r="C241" s="114">
        <v>8</v>
      </c>
      <c r="D241" s="103" t="s">
        <v>1299</v>
      </c>
      <c r="E241" s="117" t="s">
        <v>1433</v>
      </c>
      <c r="F241" s="117" t="s">
        <v>622</v>
      </c>
      <c r="G241" s="117" t="s">
        <v>1565</v>
      </c>
      <c r="H241" s="103" t="s">
        <v>1210</v>
      </c>
      <c r="I241" s="103" t="s">
        <v>1211</v>
      </c>
      <c r="R241" s="114"/>
      <c r="U241" s="114">
        <v>8</v>
      </c>
    </row>
    <row r="242" spans="1:21">
      <c r="A242" t="s">
        <v>1801</v>
      </c>
      <c r="B242" s="114">
        <v>12</v>
      </c>
      <c r="C242" s="114">
        <v>0</v>
      </c>
      <c r="D242" s="103" t="s">
        <v>1642</v>
      </c>
      <c r="E242" s="103" t="s">
        <v>803</v>
      </c>
      <c r="F242" s="117" t="s">
        <v>518</v>
      </c>
      <c r="G242" s="117" t="s">
        <v>1010</v>
      </c>
      <c r="H242" s="103" t="s">
        <v>1623</v>
      </c>
      <c r="I242" s="103" t="s">
        <v>1258</v>
      </c>
      <c r="R242" s="114"/>
      <c r="U242" s="114">
        <v>7</v>
      </c>
    </row>
    <row r="243" spans="1:21">
      <c r="A243" t="s">
        <v>1168</v>
      </c>
      <c r="B243" s="114">
        <v>10</v>
      </c>
      <c r="C243" s="114">
        <v>0</v>
      </c>
      <c r="D243" s="103" t="s">
        <v>1643</v>
      </c>
      <c r="E243" s="103" t="s">
        <v>803</v>
      </c>
      <c r="F243" s="117" t="s">
        <v>518</v>
      </c>
      <c r="G243" s="117" t="s">
        <v>1470</v>
      </c>
      <c r="H243" s="103" t="s">
        <v>944</v>
      </c>
      <c r="I243" s="103" t="s">
        <v>1494</v>
      </c>
      <c r="R243" s="114"/>
      <c r="U243" s="114">
        <v>11</v>
      </c>
    </row>
    <row r="244" spans="1:21">
      <c r="A244" t="s">
        <v>1169</v>
      </c>
      <c r="B244" s="114">
        <v>11</v>
      </c>
      <c r="C244" s="114">
        <v>0</v>
      </c>
      <c r="D244" s="103" t="s">
        <v>1383</v>
      </c>
      <c r="E244" s="103" t="s">
        <v>803</v>
      </c>
      <c r="F244" s="117" t="s">
        <v>518</v>
      </c>
      <c r="G244" s="117" t="s">
        <v>1010</v>
      </c>
      <c r="H244" s="103" t="s">
        <v>1494</v>
      </c>
      <c r="I244" s="103" t="s">
        <v>1011</v>
      </c>
      <c r="R244" s="114"/>
      <c r="U244" s="114">
        <v>9</v>
      </c>
    </row>
    <row r="245" spans="1:21">
      <c r="A245" t="s">
        <v>1752</v>
      </c>
      <c r="B245" s="114">
        <v>6</v>
      </c>
      <c r="C245" s="114">
        <v>15</v>
      </c>
      <c r="D245" s="103" t="s">
        <v>1161</v>
      </c>
      <c r="E245" s="117" t="s">
        <v>1046</v>
      </c>
      <c r="F245" s="117" t="s">
        <v>623</v>
      </c>
      <c r="G245" s="117" t="s">
        <v>518</v>
      </c>
      <c r="H245" s="103" t="s">
        <v>1047</v>
      </c>
      <c r="I245" s="103" t="s">
        <v>1882</v>
      </c>
      <c r="R245" s="114"/>
      <c r="U245" s="114">
        <v>10</v>
      </c>
    </row>
    <row r="246" spans="1:21">
      <c r="A246" t="s">
        <v>1363</v>
      </c>
      <c r="B246" s="114">
        <v>7</v>
      </c>
      <c r="C246" s="114">
        <v>11</v>
      </c>
      <c r="D246" s="103" t="s">
        <v>1299</v>
      </c>
      <c r="E246" s="117" t="s">
        <v>1046</v>
      </c>
      <c r="F246" s="117" t="s">
        <v>623</v>
      </c>
      <c r="G246" s="117" t="s">
        <v>518</v>
      </c>
      <c r="H246" s="103" t="s">
        <v>1047</v>
      </c>
      <c r="I246" s="103" t="s">
        <v>1882</v>
      </c>
      <c r="R246" s="114"/>
      <c r="U246" s="114">
        <v>5</v>
      </c>
    </row>
    <row r="247" spans="1:21">
      <c r="A247" t="s">
        <v>1743</v>
      </c>
      <c r="B247" s="114">
        <v>9</v>
      </c>
      <c r="C247" s="114">
        <v>3</v>
      </c>
      <c r="D247" s="103" t="s">
        <v>713</v>
      </c>
      <c r="E247" s="117" t="s">
        <v>1433</v>
      </c>
      <c r="F247" s="117" t="s">
        <v>785</v>
      </c>
      <c r="G247" s="117" t="s">
        <v>1850</v>
      </c>
      <c r="H247" s="103" t="s">
        <v>1851</v>
      </c>
      <c r="I247" s="103" t="s">
        <v>1494</v>
      </c>
      <c r="R247" s="114"/>
      <c r="U247" s="114">
        <v>6</v>
      </c>
    </row>
    <row r="248" spans="1:21">
      <c r="A248" t="s">
        <v>1194</v>
      </c>
      <c r="B248" s="114">
        <v>10</v>
      </c>
      <c r="C248" s="114">
        <v>3</v>
      </c>
      <c r="D248" s="103" t="s">
        <v>713</v>
      </c>
      <c r="E248" s="117" t="s">
        <v>1433</v>
      </c>
      <c r="F248" s="117" t="s">
        <v>785</v>
      </c>
      <c r="G248" s="117" t="s">
        <v>1850</v>
      </c>
      <c r="H248" s="103" t="s">
        <v>1851</v>
      </c>
      <c r="I248" s="103" t="s">
        <v>1494</v>
      </c>
      <c r="R248" s="114"/>
      <c r="U248" s="114">
        <v>8</v>
      </c>
    </row>
    <row r="249" spans="1:21">
      <c r="A249" t="s">
        <v>1597</v>
      </c>
      <c r="B249" s="114">
        <v>9</v>
      </c>
      <c r="C249" s="114">
        <v>8</v>
      </c>
      <c r="D249" s="103" t="s">
        <v>1299</v>
      </c>
      <c r="E249" s="117" t="s">
        <v>1433</v>
      </c>
      <c r="F249" s="117" t="s">
        <v>622</v>
      </c>
      <c r="G249" s="117" t="s">
        <v>1565</v>
      </c>
      <c r="H249" s="103" t="s">
        <v>1210</v>
      </c>
      <c r="I249" s="103" t="s">
        <v>1211</v>
      </c>
      <c r="R249" s="114"/>
      <c r="U249" s="114">
        <v>9</v>
      </c>
    </row>
    <row r="250" spans="1:21">
      <c r="A250" t="s">
        <v>1390</v>
      </c>
      <c r="B250" s="114">
        <v>13</v>
      </c>
      <c r="C250" s="114">
        <v>0</v>
      </c>
      <c r="D250" s="103" t="s">
        <v>1183</v>
      </c>
      <c r="E250" s="103" t="s">
        <v>803</v>
      </c>
      <c r="F250" s="117" t="s">
        <v>518</v>
      </c>
      <c r="G250" s="117" t="s">
        <v>1010</v>
      </c>
      <c r="H250" s="103" t="s">
        <v>1623</v>
      </c>
      <c r="I250" s="103" t="s">
        <v>1258</v>
      </c>
      <c r="R250" s="114"/>
      <c r="U250" s="114">
        <v>8</v>
      </c>
    </row>
    <row r="251" spans="1:21">
      <c r="A251" t="s">
        <v>1195</v>
      </c>
      <c r="B251" s="114">
        <v>11</v>
      </c>
      <c r="C251" s="114">
        <v>0</v>
      </c>
      <c r="D251" s="103" t="s">
        <v>1828</v>
      </c>
      <c r="E251" s="103" t="s">
        <v>803</v>
      </c>
      <c r="F251" s="117" t="s">
        <v>518</v>
      </c>
      <c r="G251" s="117" t="s">
        <v>1470</v>
      </c>
      <c r="H251" s="103" t="s">
        <v>944</v>
      </c>
      <c r="I251" s="103" t="s">
        <v>1494</v>
      </c>
      <c r="R251" s="114"/>
      <c r="U251" s="114">
        <v>12</v>
      </c>
    </row>
    <row r="252" spans="1:21">
      <c r="A252" t="s">
        <v>1096</v>
      </c>
      <c r="B252" s="114">
        <v>12</v>
      </c>
      <c r="C252" s="114">
        <v>0</v>
      </c>
      <c r="D252" s="103" t="s">
        <v>1182</v>
      </c>
      <c r="E252" s="103" t="s">
        <v>803</v>
      </c>
      <c r="F252" s="117" t="s">
        <v>518</v>
      </c>
      <c r="G252" s="117" t="s">
        <v>1010</v>
      </c>
      <c r="H252" s="103" t="s">
        <v>1494</v>
      </c>
      <c r="I252" s="103" t="s">
        <v>1011</v>
      </c>
      <c r="R252" s="114"/>
      <c r="U252" s="114">
        <v>10</v>
      </c>
    </row>
    <row r="253" spans="1:21">
      <c r="A253" t="s">
        <v>1596</v>
      </c>
      <c r="B253" s="114">
        <v>8</v>
      </c>
      <c r="C253" s="114">
        <v>11</v>
      </c>
      <c r="D253" s="103" t="s">
        <v>1299</v>
      </c>
      <c r="E253" s="117" t="s">
        <v>1046</v>
      </c>
      <c r="F253" s="117" t="s">
        <v>623</v>
      </c>
      <c r="G253" s="117" t="s">
        <v>518</v>
      </c>
      <c r="H253" s="103" t="s">
        <v>1047</v>
      </c>
      <c r="I253" s="103" t="s">
        <v>1882</v>
      </c>
      <c r="R253" s="114"/>
      <c r="U253" s="114">
        <v>11</v>
      </c>
    </row>
    <row r="254" spans="1:21">
      <c r="A254" t="s">
        <v>1798</v>
      </c>
      <c r="B254" s="114">
        <v>10</v>
      </c>
      <c r="C254" s="114">
        <v>3</v>
      </c>
      <c r="D254" s="103" t="s">
        <v>713</v>
      </c>
      <c r="E254" s="117" t="s">
        <v>1433</v>
      </c>
      <c r="F254" s="117" t="s">
        <v>785</v>
      </c>
      <c r="G254" s="117" t="s">
        <v>1850</v>
      </c>
      <c r="H254" s="103" t="s">
        <v>1851</v>
      </c>
      <c r="I254" s="103" t="s">
        <v>1494</v>
      </c>
      <c r="R254" s="114"/>
      <c r="U254" s="114">
        <v>7</v>
      </c>
    </row>
    <row r="255" spans="1:21">
      <c r="B255" s="103"/>
      <c r="C255" s="103"/>
      <c r="D255" s="103"/>
      <c r="E255" s="103"/>
      <c r="R255" s="114"/>
      <c r="U255" s="114">
        <v>9</v>
      </c>
    </row>
    <row r="256" spans="1:21">
      <c r="B256" s="103"/>
      <c r="C256" s="103"/>
      <c r="D256" s="103"/>
      <c r="E256" s="103"/>
    </row>
    <row r="257" spans="2:5">
      <c r="B257" s="103"/>
      <c r="C257" s="103"/>
      <c r="D257" s="103"/>
      <c r="E257" s="103"/>
    </row>
    <row r="258" spans="2:5">
      <c r="B258" s="103"/>
      <c r="C258" s="103"/>
      <c r="D258" s="103"/>
      <c r="E258" s="103"/>
    </row>
    <row r="259" spans="2:5">
      <c r="B259" s="103"/>
      <c r="C259" s="103"/>
      <c r="D259" s="103"/>
      <c r="E259" s="103"/>
    </row>
    <row r="260" spans="2:5">
      <c r="B260" s="103"/>
      <c r="C260" s="103"/>
      <c r="D260" s="103"/>
      <c r="E260" s="103"/>
    </row>
  </sheetData>
  <sheetCalcPr fullCalcOnLoad="1"/>
  <phoneticPr fontId="6"/>
  <pageMargins left="0.75" right="0.75" top="1" bottom="1" header="0.5" footer="0.5"/>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51"/>
  <sheetViews>
    <sheetView workbookViewId="0">
      <selection sqref="A1:N51"/>
    </sheetView>
  </sheetViews>
  <sheetFormatPr baseColWidth="10" defaultRowHeight="13"/>
  <sheetData>
    <row r="1" spans="1:14">
      <c r="A1" s="30" t="s">
        <v>1952</v>
      </c>
      <c r="B1" s="230"/>
      <c r="C1" s="152"/>
      <c r="D1" s="170" t="s">
        <v>658</v>
      </c>
      <c r="E1" s="235" t="s">
        <v>1540</v>
      </c>
      <c r="F1" s="152"/>
      <c r="G1" s="171" t="s">
        <v>1548</v>
      </c>
      <c r="H1" s="172" t="str">
        <f>IF(F21="","",S1&amp;S2)</f>
        <v/>
      </c>
      <c r="I1" s="152"/>
      <c r="J1" s="171" t="s">
        <v>1928</v>
      </c>
      <c r="K1" s="172">
        <v>0</v>
      </c>
      <c r="L1" s="152"/>
      <c r="M1" s="171" t="s">
        <v>691</v>
      </c>
      <c r="N1" s="172">
        <v>0</v>
      </c>
    </row>
    <row r="2" spans="1:14">
      <c r="A2" s="51" t="s">
        <v>1951</v>
      </c>
      <c r="B2" s="231"/>
      <c r="C2" s="10"/>
      <c r="D2" s="129" t="s">
        <v>824</v>
      </c>
      <c r="E2" s="11">
        <v>0</v>
      </c>
      <c r="F2" s="10"/>
      <c r="G2" s="167" t="s">
        <v>1826</v>
      </c>
      <c r="H2" s="180">
        <f>IF(E1&gt;0,LOOKUP(E1,Species!A2:A65,Species!N2:N65),"")</f>
        <v>0</v>
      </c>
      <c r="I2" s="10"/>
      <c r="J2" s="167" t="s">
        <v>645</v>
      </c>
      <c r="K2" s="180">
        <v>0</v>
      </c>
      <c r="L2" s="10"/>
      <c r="M2" s="167" t="s">
        <v>1326</v>
      </c>
      <c r="N2" s="180">
        <v>0</v>
      </c>
    </row>
    <row r="3" spans="1:14" ht="14" thickBot="1">
      <c r="A3" s="51" t="s">
        <v>659</v>
      </c>
      <c r="B3" s="231"/>
      <c r="C3" s="10"/>
      <c r="D3" s="129" t="s">
        <v>1150</v>
      </c>
      <c r="E3" s="11">
        <v>0</v>
      </c>
      <c r="F3" s="10"/>
      <c r="G3" s="167" t="s">
        <v>929</v>
      </c>
      <c r="H3" s="183">
        <f>IF(F21="","",11+E2-H2)</f>
        <v>11</v>
      </c>
      <c r="I3" s="10"/>
      <c r="J3" s="167" t="s">
        <v>1920</v>
      </c>
      <c r="K3" s="184">
        <f>K1-K2</f>
        <v>0</v>
      </c>
      <c r="L3" s="10"/>
      <c r="M3" s="167" t="s">
        <v>1330</v>
      </c>
      <c r="N3" s="239">
        <f>N1-N2</f>
        <v>0</v>
      </c>
    </row>
    <row r="4" spans="1:14" ht="14" thickBot="1">
      <c r="A4" s="210" t="str">
        <f>IF(AC78&lt;130,"Keep Going",IF(AC78&gt;130,"You've Spent Too Much","Done"))</f>
        <v>Keep Going</v>
      </c>
      <c r="B4" s="244" t="str">
        <f>AC78&amp;" Spent"</f>
        <v xml:space="preserve"> Spent</v>
      </c>
      <c r="C4" s="10"/>
      <c r="D4" s="167" t="s">
        <v>990</v>
      </c>
      <c r="E4" s="248">
        <f>AC20</f>
        <v>0</v>
      </c>
      <c r="F4" s="10"/>
      <c r="G4" s="10"/>
      <c r="H4" s="10"/>
      <c r="I4" s="10"/>
      <c r="J4" s="10"/>
      <c r="K4" s="129"/>
      <c r="L4" s="10"/>
      <c r="M4" s="10"/>
      <c r="N4" s="185"/>
    </row>
    <row r="5" spans="1:14" ht="14" thickBot="1">
      <c r="A5" s="51" t="s">
        <v>1361</v>
      </c>
      <c r="B5" s="11" t="s">
        <v>419</v>
      </c>
      <c r="C5" s="11" t="s">
        <v>1859</v>
      </c>
      <c r="D5" s="11" t="s">
        <v>1985</v>
      </c>
      <c r="E5" s="11" t="s">
        <v>1986</v>
      </c>
      <c r="F5" s="11" t="s">
        <v>1332</v>
      </c>
      <c r="G5" s="11"/>
      <c r="H5" s="30" t="s">
        <v>624</v>
      </c>
      <c r="I5" s="119" t="s">
        <v>1487</v>
      </c>
      <c r="J5" s="186" t="s">
        <v>486</v>
      </c>
      <c r="K5" s="30" t="s">
        <v>928</v>
      </c>
      <c r="L5" s="170"/>
      <c r="M5" s="170" t="s">
        <v>1360</v>
      </c>
      <c r="N5" s="122" t="s">
        <v>1539</v>
      </c>
    </row>
    <row r="6" spans="1:14">
      <c r="A6" s="76" t="s">
        <v>476</v>
      </c>
      <c r="B6" s="232">
        <v>11</v>
      </c>
      <c r="C6" s="37">
        <f>IF(E1&gt;0,LOOKUP(E1,Species!A2:A65,Species!B2:B65),"")</f>
        <v>0</v>
      </c>
      <c r="D6" s="37"/>
      <c r="E6" s="37">
        <f t="shared" ref="E6:E11" si="0">IF(B6&gt;0,SUM(B6:D6),"")</f>
        <v>11</v>
      </c>
      <c r="F6" s="52">
        <f>IF(B6&gt;0,LOOKUP(E6,'Stat Bonuses'!A2:A101,'Stat Bonuses'!C2:C101),"")</f>
        <v>0</v>
      </c>
      <c r="G6" s="13"/>
      <c r="H6" s="25" t="s">
        <v>1026</v>
      </c>
      <c r="I6" s="249" t="str">
        <f>IF($F$9="","",Y6&amp;V6&amp;W6)</f>
        <v/>
      </c>
      <c r="J6" s="26" t="str">
        <f>IF(I6="","",S6&amp;R4)</f>
        <v/>
      </c>
      <c r="K6" s="187" t="s">
        <v>1853</v>
      </c>
      <c r="L6" s="10"/>
      <c r="M6" s="473">
        <f>H3+LOOKUP(B9,'Stat Bonuses'!A2:A101,'Stat Bonuses'!B2:B101)+LOOKUP(B20,'Stat Bonuses'!A2:A101,'Stat Bonuses'!B2:B101)+E2</f>
        <v>11</v>
      </c>
      <c r="N6" s="272" t="str">
        <f>IF(J24=0,F9&amp;"+"&amp;F20&amp;"+"&amp;H3,LOOKUP(J24,'Stat Bonuses'!F2:F101,'Stat Bonuses'!G2:G101)&amp;"+"&amp;F9&amp;"+"&amp;F20&amp;"+"&amp;H3)</f>
        <v>0+0+11</v>
      </c>
    </row>
    <row r="7" spans="1:14">
      <c r="A7" s="76" t="s">
        <v>1631</v>
      </c>
      <c r="B7" s="233">
        <v>11</v>
      </c>
      <c r="C7" s="53">
        <f>IF(E1&gt;0,LOOKUP(E1,Species!A2:A65,Species!C2:C65),"")</f>
        <v>0</v>
      </c>
      <c r="D7" s="53"/>
      <c r="E7" s="53">
        <f t="shared" si="0"/>
        <v>11</v>
      </c>
      <c r="F7" s="54">
        <f>IF(B7&gt;0,LOOKUP(E7,'Stat Bonuses'!A2:A101,'Stat Bonuses'!C2:C101),"")</f>
        <v>0</v>
      </c>
      <c r="G7" s="13"/>
      <c r="H7" s="25" t="s">
        <v>625</v>
      </c>
      <c r="I7" s="249" t="str">
        <f>IF($F$9="","",Y7&amp;V7&amp;W7)</f>
        <v/>
      </c>
      <c r="J7" s="26" t="str">
        <f>IF(F9="","",S7&amp;R5)</f>
        <v/>
      </c>
      <c r="K7" s="187" t="s">
        <v>1633</v>
      </c>
      <c r="L7" s="10"/>
      <c r="M7" s="473"/>
      <c r="N7" s="26" t="str">
        <f>IF(J24=0,F9&amp;"+"&amp;F20&amp;"+"&amp;H3,LOOKUP(J24,'Stat Bonuses'!F2:F101,'Stat Bonuses'!G2:G101)&amp;"+"&amp;F9&amp;"+"&amp;F20&amp;"+"&amp;H3)</f>
        <v>0+0+11</v>
      </c>
    </row>
    <row r="8" spans="1:14">
      <c r="A8" s="76" t="s">
        <v>418</v>
      </c>
      <c r="B8" s="233">
        <v>11</v>
      </c>
      <c r="C8" s="53">
        <f>IF(E1&gt;0,LOOKUP(E1,Species!A2:A65,Species!D2:D65),"")</f>
        <v>0</v>
      </c>
      <c r="D8" s="53"/>
      <c r="E8" s="53">
        <f t="shared" si="0"/>
        <v>11</v>
      </c>
      <c r="F8" s="54">
        <f>IF(B8&gt;0,LOOKUP(E8,'Stat Bonuses'!A2:A101,'Stat Bonuses'!C2:C101),"")</f>
        <v>0</v>
      </c>
      <c r="G8" s="13"/>
      <c r="H8" s="25" t="s">
        <v>1686</v>
      </c>
      <c r="I8" s="249" t="str">
        <f>IF($F$9="","",Y8&amp;V8&amp;W8)</f>
        <v/>
      </c>
      <c r="J8" s="189" t="str">
        <f>IF(F9="","",S8&amp;R5)</f>
        <v/>
      </c>
      <c r="K8" s="187" t="s">
        <v>685</v>
      </c>
      <c r="L8" s="10"/>
      <c r="M8" s="473"/>
      <c r="N8" s="26" t="str">
        <f>IF(J25=0,F9&amp;"+"&amp;F20&amp;"+"&amp;H3,LOOKUP(J25,'Stat Bonuses'!F2:F101,'Stat Bonuses'!G2:G101)&amp;"+"&amp;F9&amp;"+"&amp;F20&amp;"+"&amp;H3)</f>
        <v>0+0+11</v>
      </c>
    </row>
    <row r="9" spans="1:14">
      <c r="A9" s="76" t="s">
        <v>1922</v>
      </c>
      <c r="B9" s="233">
        <v>11</v>
      </c>
      <c r="C9" s="53">
        <f>IF(E1&gt;0,LOOKUP(E1,Species!A2:A65,Species!E2:E65),"")</f>
        <v>0</v>
      </c>
      <c r="D9" s="53"/>
      <c r="E9" s="53">
        <f t="shared" si="0"/>
        <v>11</v>
      </c>
      <c r="F9" s="54">
        <f>IF(B9&gt;0,LOOKUP(E9,'Stat Bonuses'!A2:A101,'Stat Bonuses'!C2:C101),"")</f>
        <v>0</v>
      </c>
      <c r="G9" s="13"/>
      <c r="H9" s="25" t="s">
        <v>1025</v>
      </c>
      <c r="I9" s="249" t="str">
        <f>IF($F$9="","",Y9&amp;V9&amp;W9)</f>
        <v/>
      </c>
      <c r="J9" s="26" t="str">
        <f>IF(F9="","",S9&amp;R4)</f>
        <v/>
      </c>
      <c r="K9" s="187" t="s">
        <v>1193</v>
      </c>
      <c r="L9" s="10"/>
      <c r="M9" s="16">
        <f>LOOKUP(B14,'Stat Bonuses'!A2:A101,'Stat Bonuses'!B2:B101)+LOOKUP(B15,'Stat Bonuses'!A2:A101,'Stat Bonuses'!B2:B101)+11+E2+J29</f>
        <v>11</v>
      </c>
      <c r="N9" s="26" t="str">
        <f>IF(J29=0,F14&amp;"+"&amp;F15&amp;"+"&amp;E2+11,LOOKUP(J29,'Stat Bonuses'!F2:F101,'Stat Bonuses'!G2:G101)&amp;"+"&amp;F14&amp;"+"&amp;F15&amp;"+"&amp;E2+11)</f>
        <v>0+0+11</v>
      </c>
    </row>
    <row r="10" spans="1:14">
      <c r="A10" s="76" t="s">
        <v>1987</v>
      </c>
      <c r="B10" s="233">
        <v>11</v>
      </c>
      <c r="C10" s="53">
        <f>IF(E1&gt;0,LOOKUP(E1,Species!A2:A65,Species!F2:F65),"")</f>
        <v>0</v>
      </c>
      <c r="D10" s="53"/>
      <c r="E10" s="53">
        <f t="shared" si="0"/>
        <v>11</v>
      </c>
      <c r="F10" s="54">
        <f>IF(B10&gt;0,LOOKUP(E10,'Stat Bonuses'!A2:A101,'Stat Bonuses'!C2:C101),"")</f>
        <v>0</v>
      </c>
      <c r="G10" s="13"/>
      <c r="H10" s="25" t="s">
        <v>1687</v>
      </c>
      <c r="I10" s="249" t="str">
        <f>IF($F$9="","",Y10&amp;V10&amp;W10)</f>
        <v/>
      </c>
      <c r="J10" s="26" t="str">
        <f>IF(F9="","",S10&amp;R3)</f>
        <v/>
      </c>
      <c r="K10" s="25" t="s">
        <v>1868</v>
      </c>
      <c r="L10" s="10"/>
      <c r="M10" s="248" t="str">
        <f>IF(F21="","",F14&amp;"+"&amp;F11&amp;"+"&amp;11+E2)</f>
        <v>0+0+11</v>
      </c>
      <c r="N10" s="26" t="s">
        <v>1824</v>
      </c>
    </row>
    <row r="11" spans="1:14" ht="14" thickBot="1">
      <c r="A11" s="76" t="s">
        <v>1988</v>
      </c>
      <c r="B11" s="234">
        <v>11</v>
      </c>
      <c r="C11" s="39">
        <f>IF(E1&gt;0,LOOKUP(E1,Species!A2:A65,Species!G2:G65),"")</f>
        <v>0</v>
      </c>
      <c r="D11" s="39"/>
      <c r="E11" s="39">
        <f t="shared" si="0"/>
        <v>11</v>
      </c>
      <c r="F11" s="55">
        <f>IF(B11&gt;0,LOOKUP(E11,'Stat Bonuses'!A2:A101,'Stat Bonuses'!C2:C101),"")</f>
        <v>0</v>
      </c>
      <c r="G11" s="13"/>
      <c r="H11" s="27" t="s">
        <v>1862</v>
      </c>
      <c r="I11" s="250" t="str">
        <f>IF(T11="Yes",(Y11&amp;V11&amp;W11),"")</f>
        <v/>
      </c>
      <c r="J11" s="29" t="str">
        <f>IF(I11="","",(S11&amp;R5))</f>
        <v/>
      </c>
      <c r="K11" s="27" t="s">
        <v>1854</v>
      </c>
      <c r="L11" s="190"/>
      <c r="M11" s="78" t="str">
        <f>IF(F21="","",F14&amp;"+"&amp;F17&amp;"+"&amp;11+E2)</f>
        <v>0+0+11</v>
      </c>
      <c r="N11" s="29" t="s">
        <v>1824</v>
      </c>
    </row>
    <row r="12" spans="1:14" ht="14" thickBot="1">
      <c r="A12" s="51" t="s">
        <v>2012</v>
      </c>
      <c r="B12" s="16"/>
      <c r="C12" s="16"/>
      <c r="D12" s="16"/>
      <c r="E12" s="16"/>
      <c r="F12" s="16"/>
      <c r="G12" s="13"/>
      <c r="H12" s="10"/>
      <c r="I12" s="10"/>
      <c r="J12" s="10"/>
      <c r="K12" s="10"/>
      <c r="L12" s="10"/>
      <c r="M12" s="10"/>
      <c r="N12" s="185"/>
    </row>
    <row r="13" spans="1:14" ht="15">
      <c r="A13" s="76" t="s">
        <v>1833</v>
      </c>
      <c r="B13" s="232">
        <v>11</v>
      </c>
      <c r="C13" s="37">
        <f>IF(E1&gt;0,LOOKUP(E1,Species!A2:A65,Species!H2:H65),"")</f>
        <v>0</v>
      </c>
      <c r="D13" s="37"/>
      <c r="E13" s="37">
        <f t="shared" ref="E13:E18" si="1">IF(B13&gt;0,SUM(B13:D13),"")</f>
        <v>11</v>
      </c>
      <c r="F13" s="52">
        <f>IF(B13&gt;0,LOOKUP(E13,'Stat Bonuses'!A2:A101,'Stat Bonuses'!C2:C101),"")</f>
        <v>0</v>
      </c>
      <c r="G13" s="13"/>
      <c r="H13" s="191" t="s">
        <v>1288</v>
      </c>
      <c r="I13" s="192"/>
      <c r="J13" s="193"/>
      <c r="K13" s="269" t="s">
        <v>1546</v>
      </c>
      <c r="L13" s="270"/>
      <c r="M13" s="271">
        <f>IF(B11=0,"",((E11+(E7+E14)/2+(H2*2))*1.5)+(E2*7))</f>
        <v>33</v>
      </c>
      <c r="N13" s="194"/>
    </row>
    <row r="14" spans="1:14">
      <c r="A14" s="76" t="s">
        <v>1062</v>
      </c>
      <c r="B14" s="233">
        <v>11</v>
      </c>
      <c r="C14" s="53">
        <f>IF(E1&gt;0,LOOKUP(E1,Species!A2:A65,Species!I2:I65),"")</f>
        <v>0</v>
      </c>
      <c r="D14" s="53"/>
      <c r="E14" s="53">
        <f t="shared" si="1"/>
        <v>11</v>
      </c>
      <c r="F14" s="54">
        <f>IF(B14&gt;0,LOOKUP(E14,'Stat Bonuses'!A2:A101,'Stat Bonuses'!C2:C101),"")</f>
        <v>0</v>
      </c>
      <c r="G14" s="13"/>
      <c r="H14" s="195" t="s">
        <v>1717</v>
      </c>
      <c r="I14" s="10"/>
      <c r="J14" s="196" t="s">
        <v>657</v>
      </c>
      <c r="K14" s="11"/>
      <c r="L14" s="111" t="s">
        <v>638</v>
      </c>
      <c r="M14" s="197"/>
      <c r="N14" s="198" t="s">
        <v>1476</v>
      </c>
    </row>
    <row r="15" spans="1:14">
      <c r="A15" s="76" t="s">
        <v>1587</v>
      </c>
      <c r="B15" s="233">
        <v>11</v>
      </c>
      <c r="C15" s="53">
        <f>IF(E1&gt;0,LOOKUP(E1,Species!A2:A65,Species!J2:J65),"")</f>
        <v>0</v>
      </c>
      <c r="D15" s="53"/>
      <c r="E15" s="53">
        <f t="shared" si="1"/>
        <v>11</v>
      </c>
      <c r="F15" s="54">
        <f>IF(B15&gt;0,LOOKUP(E15,'Stat Bonuses'!A2:A101,'Stat Bonuses'!C2:C101),"")</f>
        <v>0</v>
      </c>
      <c r="G15" s="13"/>
      <c r="H15" s="195"/>
      <c r="I15" s="10"/>
      <c r="J15" s="196" t="s">
        <v>1303</v>
      </c>
      <c r="K15" s="199" t="s">
        <v>1477</v>
      </c>
      <c r="L15" s="248">
        <f>M13/2-1</f>
        <v>15.5</v>
      </c>
      <c r="M15" s="200" t="s">
        <v>1718</v>
      </c>
      <c r="N15" s="26">
        <v>0</v>
      </c>
    </row>
    <row r="16" spans="1:14">
      <c r="A16" s="76" t="s">
        <v>1441</v>
      </c>
      <c r="B16" s="233">
        <v>11</v>
      </c>
      <c r="C16" s="53">
        <f>IF(E1&gt;0,LOOKUP(E1,Species!A2:A65,Species!K2:K65),"")</f>
        <v>0</v>
      </c>
      <c r="D16" s="53"/>
      <c r="E16" s="53">
        <f t="shared" si="1"/>
        <v>11</v>
      </c>
      <c r="F16" s="54">
        <f>IF(B16&gt;0,LOOKUP(E16,'Stat Bonuses'!A2:A101,'Stat Bonuses'!C2:C101),"")</f>
        <v>0</v>
      </c>
      <c r="G16" s="13"/>
      <c r="H16" s="87"/>
      <c r="I16" s="10"/>
      <c r="J16" s="201"/>
      <c r="K16" s="202" t="s">
        <v>1478</v>
      </c>
      <c r="L16" s="75">
        <f>M13*M16</f>
        <v>16.5</v>
      </c>
      <c r="M16" s="203">
        <v>0.5</v>
      </c>
      <c r="N16" s="41">
        <v>-1</v>
      </c>
    </row>
    <row r="17" spans="1:14">
      <c r="A17" s="76" t="s">
        <v>1632</v>
      </c>
      <c r="B17" s="233">
        <v>11</v>
      </c>
      <c r="C17" s="53">
        <f>IF(E1&gt;0,LOOKUP(E1,Species!A2:A65,Species!L2:L65),"")</f>
        <v>0</v>
      </c>
      <c r="D17" s="53"/>
      <c r="E17" s="53">
        <f t="shared" si="1"/>
        <v>11</v>
      </c>
      <c r="F17" s="54">
        <f>IF(B17&gt;0,LOOKUP(E17,'Stat Bonuses'!A2:A101,'Stat Bonuses'!C2:C101),"")</f>
        <v>0</v>
      </c>
      <c r="G17" s="13"/>
      <c r="H17" s="87"/>
      <c r="I17" s="10"/>
      <c r="J17" s="201"/>
      <c r="K17" s="199" t="s">
        <v>1115</v>
      </c>
      <c r="L17" s="248">
        <f>M13*M17</f>
        <v>24.75</v>
      </c>
      <c r="M17" s="204">
        <v>0.75</v>
      </c>
      <c r="N17" s="26">
        <v>-2</v>
      </c>
    </row>
    <row r="18" spans="1:14" ht="14" thickBot="1">
      <c r="A18" s="76" t="s">
        <v>1430</v>
      </c>
      <c r="B18" s="234">
        <v>11</v>
      </c>
      <c r="C18" s="39">
        <f>IF(E1&gt;0,LOOKUP(E1,Species!A2:A65,Species!M2:M65),"")</f>
        <v>0</v>
      </c>
      <c r="D18" s="39"/>
      <c r="E18" s="39">
        <f t="shared" si="1"/>
        <v>11</v>
      </c>
      <c r="F18" s="55">
        <f>IF(B18&gt;0,LOOKUP(E18,'Stat Bonuses'!A2:A101,'Stat Bonuses'!C2:C101),"")</f>
        <v>0</v>
      </c>
      <c r="G18" s="13"/>
      <c r="H18" s="87"/>
      <c r="I18" s="10"/>
      <c r="J18" s="201"/>
      <c r="K18" s="202" t="s">
        <v>1117</v>
      </c>
      <c r="L18" s="75">
        <f>M13*M18</f>
        <v>28.05</v>
      </c>
      <c r="M18" s="203">
        <v>0.85</v>
      </c>
      <c r="N18" s="41">
        <v>-3</v>
      </c>
    </row>
    <row r="19" spans="1:14" ht="14" thickBot="1">
      <c r="A19" s="51" t="s">
        <v>2025</v>
      </c>
      <c r="B19" s="16"/>
      <c r="C19" s="217" t="str">
        <f>IF(AC70&gt;30,"Too Much Spent on Attributes",IF(AC70&lt;30,"Keep Buying Attributes","Done With Attributes"))</f>
        <v>Keep Buying Attributes</v>
      </c>
      <c r="D19" s="16"/>
      <c r="E19" s="16"/>
      <c r="F19" s="16"/>
      <c r="G19" s="13"/>
      <c r="H19" s="87"/>
      <c r="I19" s="10"/>
      <c r="J19" s="201"/>
      <c r="K19" s="199" t="s">
        <v>1118</v>
      </c>
      <c r="L19" s="248">
        <f>M13*M19</f>
        <v>29.7</v>
      </c>
      <c r="M19" s="204">
        <v>0.9</v>
      </c>
      <c r="N19" s="26">
        <v>-4</v>
      </c>
    </row>
    <row r="20" spans="1:14">
      <c r="A20" s="76" t="s">
        <v>1180</v>
      </c>
      <c r="B20" s="36">
        <f>IF(B13&gt;0,(B13+B15)/2,"")</f>
        <v>11</v>
      </c>
      <c r="C20" s="37" t="s">
        <v>639</v>
      </c>
      <c r="D20" s="37" t="s">
        <v>639</v>
      </c>
      <c r="E20" s="37">
        <f>IF(B13&gt;0,(E13+E15)/2,"")</f>
        <v>11</v>
      </c>
      <c r="F20" s="52">
        <f>IF(B20&gt;0,LOOKUP(E20,'Stat Bonuses'!A2:A101,'Stat Bonuses'!C2:C101),"")</f>
        <v>0</v>
      </c>
      <c r="G20" s="16"/>
      <c r="H20" s="87"/>
      <c r="I20" s="10"/>
      <c r="J20" s="201"/>
      <c r="K20" s="202" t="s">
        <v>1286</v>
      </c>
      <c r="L20" s="75">
        <f>M13*M20</f>
        <v>31.349999999999998</v>
      </c>
      <c r="M20" s="203">
        <v>0.95</v>
      </c>
      <c r="N20" s="41">
        <v>-5</v>
      </c>
    </row>
    <row r="21" spans="1:14" ht="14" thickBot="1">
      <c r="A21" s="76" t="s">
        <v>489</v>
      </c>
      <c r="B21" s="38">
        <f>IF(B20="","",(B20+B9)/2)</f>
        <v>11</v>
      </c>
      <c r="C21" s="39" t="s">
        <v>639</v>
      </c>
      <c r="D21" s="39" t="s">
        <v>639</v>
      </c>
      <c r="E21" s="39">
        <f>IF(E20="","",(E20+E9)/2)</f>
        <v>11</v>
      </c>
      <c r="F21" s="55">
        <f>IF(B21&gt;0,LOOKUP(E21,'Stat Bonuses'!A2:A101,'Stat Bonuses'!C2:C101),"")</f>
        <v>0</v>
      </c>
      <c r="G21" s="16"/>
      <c r="H21" s="25"/>
      <c r="I21" s="10"/>
      <c r="J21" s="201"/>
      <c r="K21" s="206" t="s">
        <v>1716</v>
      </c>
      <c r="L21" s="248">
        <f>M13*M21</f>
        <v>33</v>
      </c>
      <c r="M21" s="204">
        <v>1</v>
      </c>
      <c r="N21" s="26" t="s">
        <v>639</v>
      </c>
    </row>
    <row r="22" spans="1:14" ht="14" thickBot="1">
      <c r="A22" s="25"/>
      <c r="B22" s="10"/>
      <c r="C22" s="10"/>
      <c r="D22" s="10"/>
      <c r="E22" s="10"/>
      <c r="F22" s="10"/>
      <c r="G22" s="10"/>
      <c r="H22" s="27"/>
      <c r="I22" s="190"/>
      <c r="J22" s="207"/>
      <c r="K22" s="190" t="s">
        <v>1287</v>
      </c>
      <c r="L22" s="78">
        <f>M13*M22</f>
        <v>39.6</v>
      </c>
      <c r="M22" s="208">
        <v>1.2</v>
      </c>
      <c r="N22" s="29" t="s">
        <v>639</v>
      </c>
    </row>
    <row r="23" spans="1:14">
      <c r="A23" s="30" t="s">
        <v>1715</v>
      </c>
      <c r="B23" s="119"/>
      <c r="C23" s="119" t="s">
        <v>1304</v>
      </c>
      <c r="D23" s="119" t="s">
        <v>1474</v>
      </c>
      <c r="E23" s="119" t="s">
        <v>1475</v>
      </c>
      <c r="F23" s="122" t="s">
        <v>1676</v>
      </c>
      <c r="G23" s="111"/>
      <c r="H23" s="51" t="s">
        <v>520</v>
      </c>
      <c r="I23" s="10"/>
      <c r="J23" s="111" t="s">
        <v>1702</v>
      </c>
      <c r="K23" s="111" t="s">
        <v>703</v>
      </c>
      <c r="L23" s="111" t="s">
        <v>1799</v>
      </c>
      <c r="M23" s="111" t="s">
        <v>703</v>
      </c>
      <c r="N23" s="198" t="s">
        <v>1595</v>
      </c>
    </row>
    <row r="24" spans="1:14">
      <c r="A24" s="229" t="s">
        <v>963</v>
      </c>
      <c r="B24" s="11"/>
      <c r="C24" s="248">
        <f>IF(A24&gt;0,LOOKUP(A24,Armor!A2:A62,Armor!B2:B62),"")</f>
        <v>0</v>
      </c>
      <c r="D24" s="248">
        <f>IF(A24&gt;0,LOOKUP(A24,Armor!A2:A62,Armor!C2:C62),"")</f>
        <v>0</v>
      </c>
      <c r="E24" s="248">
        <f>IF(A24&gt;0,LOOKUP(A24,Armor!A2:A62,Armor!D2:D62),"")</f>
        <v>0</v>
      </c>
      <c r="F24" s="26">
        <f>IF(A24&gt;0,LOOKUP(A24,Armor!A2:A62,Armor!E2:E62),"")</f>
        <v>0</v>
      </c>
      <c r="G24" s="11"/>
      <c r="H24" s="223" t="s">
        <v>2036</v>
      </c>
      <c r="I24" s="43"/>
      <c r="J24" s="227"/>
      <c r="K24" s="12" t="str">
        <f>IF(J24&gt;0,LOOKUP(J24,'Stat Bonuses'!$F$2:$F$101,'Stat Bonuses'!$G$2:$G$101),"")</f>
        <v/>
      </c>
      <c r="L24" s="149" t="str">
        <f>IF(H24&gt;0,LOOKUP(H24,Skills!A2:A467,Skills!B2:B467),"")</f>
        <v>Willpower</v>
      </c>
      <c r="M24" s="12" t="e">
        <f>IF(H24&gt;0,LOOKUP(L24,$R$24:$R$37,$S$24:$S$37),"")</f>
        <v>#N/A</v>
      </c>
      <c r="N24" s="104" t="e">
        <f>IF(H24&gt;0,$T$22&amp;K24&amp;"+"&amp;M24,"")</f>
        <v>#N/A</v>
      </c>
    </row>
    <row r="25" spans="1:14" ht="14" thickBot="1">
      <c r="A25" s="225" t="s">
        <v>1268</v>
      </c>
      <c r="B25" s="28"/>
      <c r="C25" s="78">
        <f>IF(A25&gt;0,LOOKUP(A25,Armor!A2:A62,Armor!B2:B62),"")</f>
        <v>0</v>
      </c>
      <c r="D25" s="78">
        <f>IF(A25&gt;0,LOOKUP(A25,Armor!A2:A62,Armor!C2:C62),"")</f>
        <v>0</v>
      </c>
      <c r="E25" s="78">
        <f>IF(A25&gt;0,LOOKUP(A25,Armor!A2:A62,Armor!D2:D62),"")</f>
        <v>0</v>
      </c>
      <c r="F25" s="29">
        <f>IF(A25&gt;0,LOOKUP(A25,Armor!A2:A62,Armor!E2:E62),"")</f>
        <v>0</v>
      </c>
      <c r="G25" s="11"/>
      <c r="H25" s="223" t="s">
        <v>1445</v>
      </c>
      <c r="I25" s="43"/>
      <c r="J25" s="227"/>
      <c r="K25" s="12" t="str">
        <f>IF(J25&gt;0,LOOKUP(J25,'Stat Bonuses'!$F$2:$F$101,'Stat Bonuses'!$G$2:$G$101),"")</f>
        <v/>
      </c>
      <c r="L25" s="149" t="str">
        <f>IF(H25&gt;0,LOOKUP(H25,Skills!A2:A467,Skills!B2:B467),"")</f>
        <v>Agility</v>
      </c>
      <c r="M25" s="12" t="e">
        <f t="shared" ref="M25:M36" si="2">IF(H25&gt;0,LOOKUP(L25,$R$24:$R$37,$S$24:$S$37),"")</f>
        <v>#N/A</v>
      </c>
      <c r="N25" s="104" t="e">
        <f t="shared" ref="N25:N35" si="3">IF(H25&gt;0,$T$22&amp;K25&amp;"+"&amp;M25,"")</f>
        <v>#N/A</v>
      </c>
    </row>
    <row r="26" spans="1:14" ht="14" thickBot="1">
      <c r="A26" s="25"/>
      <c r="B26" s="10"/>
      <c r="C26" s="70"/>
      <c r="D26" s="70"/>
      <c r="E26" s="70"/>
      <c r="F26" s="10"/>
      <c r="G26" s="10"/>
      <c r="H26" s="223" t="s">
        <v>1446</v>
      </c>
      <c r="I26" s="43"/>
      <c r="J26" s="227"/>
      <c r="K26" s="12" t="str">
        <f>IF(J26&gt;0,LOOKUP(J26,'Stat Bonuses'!$F$2:$F$101,'Stat Bonuses'!$G$2:$G$101),"")</f>
        <v/>
      </c>
      <c r="L26" s="149" t="str">
        <f>IF(H26&gt;0,LOOKUP(H26,Skills!A2:A467,Skills!B2:B467),"")</f>
        <v>Dexterity</v>
      </c>
      <c r="M26" s="12" t="e">
        <f t="shared" si="2"/>
        <v>#N/A</v>
      </c>
      <c r="N26" s="104" t="e">
        <f t="shared" si="3"/>
        <v>#N/A</v>
      </c>
    </row>
    <row r="27" spans="1:14">
      <c r="A27" s="30" t="s">
        <v>1503</v>
      </c>
      <c r="B27" s="119"/>
      <c r="C27" s="125" t="s">
        <v>1504</v>
      </c>
      <c r="D27" s="125" t="s">
        <v>1526</v>
      </c>
      <c r="E27" s="125" t="s">
        <v>2035</v>
      </c>
      <c r="F27" s="122" t="s">
        <v>1303</v>
      </c>
      <c r="G27" s="129"/>
      <c r="H27" s="223" t="s">
        <v>1635</v>
      </c>
      <c r="I27" s="90"/>
      <c r="J27" s="226"/>
      <c r="K27" s="12" t="str">
        <f>IF(J27&gt;0,LOOKUP(J27,'Stat Bonuses'!$F$2:$F$101,'Stat Bonuses'!$G$2:$G$101),"")</f>
        <v/>
      </c>
      <c r="L27" s="149" t="str">
        <f>IF(H27&gt;0,LOOKUP(H27,Skills!A2:A467,Skills!B2:B467),"")</f>
        <v>Dexterity</v>
      </c>
      <c r="M27" s="12" t="e">
        <f t="shared" si="2"/>
        <v>#N/A</v>
      </c>
      <c r="N27" s="104" t="e">
        <f t="shared" si="3"/>
        <v>#N/A</v>
      </c>
    </row>
    <row r="28" spans="1:14">
      <c r="A28" s="25" t="s">
        <v>1126</v>
      </c>
      <c r="B28" s="10"/>
      <c r="C28" s="248">
        <v>0</v>
      </c>
      <c r="D28" s="248">
        <v>1</v>
      </c>
      <c r="E28" s="248">
        <f>F6</f>
        <v>0</v>
      </c>
      <c r="F28" s="26">
        <f>IF(E28=0,R21,IF(E28&lt;0,R21&amp;E28,IF(E28&gt;0,S21&amp;E28)))</f>
        <v>0</v>
      </c>
      <c r="G28" s="11"/>
      <c r="H28" s="224" t="s">
        <v>1447</v>
      </c>
      <c r="I28" s="43"/>
      <c r="J28" s="227"/>
      <c r="K28" s="12" t="str">
        <f>IF(J28&gt;0,LOOKUP(J28,'Stat Bonuses'!$F$2:$F$101,'Stat Bonuses'!$G$2:$G$101),"")</f>
        <v/>
      </c>
      <c r="L28" s="149" t="str">
        <f>IF(H28&gt;0,LOOKUP(H28,Skills!A2:A467,Skills!B2:B467),"")</f>
        <v>Intuition/Psychic</v>
      </c>
      <c r="M28" s="12" t="e">
        <f t="shared" si="2"/>
        <v>#N/A</v>
      </c>
      <c r="N28" s="104" t="e">
        <f t="shared" si="3"/>
        <v>#N/A</v>
      </c>
    </row>
    <row r="29" spans="1:14" ht="14" thickBot="1">
      <c r="A29" s="27" t="s">
        <v>1127</v>
      </c>
      <c r="B29" s="190"/>
      <c r="C29" s="78">
        <v>0</v>
      </c>
      <c r="D29" s="78">
        <v>2</v>
      </c>
      <c r="E29" s="78">
        <f>F6</f>
        <v>0</v>
      </c>
      <c r="F29" s="29">
        <f>IF(E29=0,R22,IF(E29&lt;0,R22&amp;E29,IF(E29&gt;0,S22&amp;E29)))</f>
        <v>0</v>
      </c>
      <c r="G29" s="11"/>
      <c r="H29" s="223" t="s">
        <v>1823</v>
      </c>
      <c r="I29" s="90"/>
      <c r="J29" s="226"/>
      <c r="K29" s="12" t="str">
        <f>IF(J29&gt;0,LOOKUP(J29,'Stat Bonuses'!$F$2:$F$101,'Stat Bonuses'!$G$2:$G$101),"")</f>
        <v/>
      </c>
      <c r="L29" s="149" t="str">
        <f>IF(H29&gt;0,LOOKUP(H29,Skills!A2:A467,Skills!B2:B467),"")</f>
        <v>Intuition/Psychic</v>
      </c>
      <c r="M29" s="12" t="e">
        <f t="shared" si="2"/>
        <v>#N/A</v>
      </c>
      <c r="N29" s="104" t="e">
        <f t="shared" si="3"/>
        <v>#N/A</v>
      </c>
    </row>
    <row r="30" spans="1:14" ht="14" thickBot="1">
      <c r="A30" s="25"/>
      <c r="B30" s="10"/>
      <c r="C30" s="70"/>
      <c r="D30" s="70"/>
      <c r="E30" s="70"/>
      <c r="F30" s="10"/>
      <c r="G30" s="10"/>
      <c r="H30" s="223" t="s">
        <v>861</v>
      </c>
      <c r="I30" s="43"/>
      <c r="J30" s="227"/>
      <c r="K30" s="12" t="str">
        <f>IF(J30&gt;0,LOOKUP(J30,'Stat Bonuses'!$F$2:$F$101,'Stat Bonuses'!$G$2:$G$101),"")</f>
        <v/>
      </c>
      <c r="L30" s="149" t="str">
        <f>IF(H30&gt;0,LOOKUP(H30,Skills!A2:A467,Skills!B2:B467),"")</f>
        <v>Agility</v>
      </c>
      <c r="M30" s="12" t="e">
        <f t="shared" si="2"/>
        <v>#N/A</v>
      </c>
      <c r="N30" s="104" t="e">
        <f t="shared" si="3"/>
        <v>#N/A</v>
      </c>
    </row>
    <row r="31" spans="1:14">
      <c r="A31" s="30" t="s">
        <v>1120</v>
      </c>
      <c r="B31" s="119" t="s">
        <v>1911</v>
      </c>
      <c r="C31" s="125" t="s">
        <v>1504</v>
      </c>
      <c r="D31" s="125" t="s">
        <v>1526</v>
      </c>
      <c r="E31" s="125" t="s">
        <v>2035</v>
      </c>
      <c r="F31" s="122" t="s">
        <v>1303</v>
      </c>
      <c r="G31" s="129"/>
      <c r="H31" s="223" t="s">
        <v>538</v>
      </c>
      <c r="I31" s="90"/>
      <c r="J31" s="226"/>
      <c r="K31" s="12" t="str">
        <f>IF(J31&gt;0,LOOKUP(J31,'Stat Bonuses'!$F$2:$F$101,'Stat Bonuses'!$G$2:$G$101),"")</f>
        <v/>
      </c>
      <c r="L31" s="149" t="str">
        <f>IF(H31&gt;0,LOOKUP(H31,Skills!A2:A467,Skills!B2:B467),"")</f>
        <v>Agility</v>
      </c>
      <c r="M31" s="12" t="e">
        <f t="shared" si="2"/>
        <v>#N/A</v>
      </c>
      <c r="N31" s="104" t="e">
        <f t="shared" si="3"/>
        <v>#N/A</v>
      </c>
    </row>
    <row r="32" spans="1:14">
      <c r="A32" s="229"/>
      <c r="B32" s="11" t="str">
        <f>IF(A32&gt;0,LOOKUP(A32,Melee!A2:A94,Melee!E2:E94),"")</f>
        <v/>
      </c>
      <c r="C32" s="248" t="str">
        <f>IF(A32&gt;0,LOOKUP(A32,Melee!A2:A94,Melee!D2:D94),"")</f>
        <v/>
      </c>
      <c r="D32" s="248" t="str">
        <f>IF(A32&gt;0,LOOKUP(A32,Melee!A2:A94,Melee!C2:C94),"")</f>
        <v/>
      </c>
      <c r="E32" s="248" t="str">
        <f>IF(A32&gt;0,F6,"")</f>
        <v/>
      </c>
      <c r="F32" s="26" t="str">
        <f>IF(A32=0,"",IF(E32=0,D32&amp;R21,IF(E32&lt;0,D32&amp;R21&amp;E32,IF(E32&gt;0,D32&amp;S21&amp;E32))))</f>
        <v/>
      </c>
      <c r="G32" s="11"/>
      <c r="H32" s="223" t="s">
        <v>562</v>
      </c>
      <c r="I32" s="43"/>
      <c r="J32" s="227"/>
      <c r="K32" s="12" t="str">
        <f>IF(J32&gt;0,LOOKUP(J32,'Stat Bonuses'!$F$2:$F$101,'Stat Bonuses'!$G$2:$G$101),"")</f>
        <v/>
      </c>
      <c r="L32" s="149" t="str">
        <f>IF(H32&gt;0,LOOKUP(H32,Skills!A2:A467,Skills!B2:B467),"")</f>
        <v>Dexterity</v>
      </c>
      <c r="M32" s="12" t="e">
        <f t="shared" si="2"/>
        <v>#N/A</v>
      </c>
      <c r="N32" s="104" t="e">
        <f t="shared" si="3"/>
        <v>#N/A</v>
      </c>
    </row>
    <row r="33" spans="1:14">
      <c r="A33" s="223"/>
      <c r="B33" s="12" t="str">
        <f>IF(A33&gt;0,LOOKUP(A33,Melee!A2:A94,Melee!E2:E94),"")</f>
        <v/>
      </c>
      <c r="C33" s="75" t="str">
        <f>IF(A33&gt;0,LOOKUP(A33,Melee!A2:A94,Melee!D2:D94),"")</f>
        <v/>
      </c>
      <c r="D33" s="75" t="str">
        <f>IF(A33&gt;0,LOOKUP(A33,Melee!A2:A94,Melee!C2:C94),"")</f>
        <v/>
      </c>
      <c r="E33" s="75" t="str">
        <f>IF(A33&gt;0,F6,"")</f>
        <v/>
      </c>
      <c r="F33" s="41" t="str">
        <f>IF(A33=0,"",IF(E33=0,D33&amp;R21,IF(E33&lt;0,D33&amp;R21&amp;E33,IF(E33&gt;0,D33&amp;S21&amp;E33))))</f>
        <v/>
      </c>
      <c r="G33" s="11"/>
      <c r="H33" s="223" t="s">
        <v>561</v>
      </c>
      <c r="I33" s="90"/>
      <c r="J33" s="226"/>
      <c r="K33" s="12" t="str">
        <f>IF(J33&gt;0,LOOKUP(J33,'Stat Bonuses'!$F$2:$F$101,'Stat Bonuses'!$G$2:$G$101),"")</f>
        <v/>
      </c>
      <c r="L33" s="149" t="str">
        <f>IF(H33&gt;0,LOOKUP(H33,Skills!A2:A467,Skills!B2:B467),"")</f>
        <v>Dexterity</v>
      </c>
      <c r="M33" s="12" t="e">
        <f t="shared" si="2"/>
        <v>#N/A</v>
      </c>
      <c r="N33" s="104" t="e">
        <f t="shared" si="3"/>
        <v>#N/A</v>
      </c>
    </row>
    <row r="34" spans="1:14">
      <c r="A34" s="229"/>
      <c r="B34" s="11" t="str">
        <f>IF(A34&gt;0,LOOKUP(A34,Melee!A2:A94,Melee!E2:E94),"")</f>
        <v/>
      </c>
      <c r="C34" s="248" t="str">
        <f>IF(A34&gt;0,LOOKUP(A34,Melee!A2:A94,Melee!D2:D94),"")</f>
        <v/>
      </c>
      <c r="D34" s="248" t="str">
        <f>IF(A34&gt;0,LOOKUP(A34,Melee!A2:A94,Melee!C2:C94),"")</f>
        <v/>
      </c>
      <c r="E34" s="248" t="str">
        <f>IF(A34&gt;0,F6,"")</f>
        <v/>
      </c>
      <c r="F34" s="26" t="str">
        <f>IF(A34=0,"",IF(E34=0,D34&amp;R21,IF(E34&lt;0,D34&amp;R21&amp;E34,IF(E34&gt;0,D34&amp;S21&amp;E34))))</f>
        <v/>
      </c>
      <c r="G34" s="11"/>
      <c r="H34" s="224" t="s">
        <v>514</v>
      </c>
      <c r="I34" s="43"/>
      <c r="J34" s="227"/>
      <c r="K34" s="12" t="str">
        <f>IF(J34&gt;0,LOOKUP(J34,'Stat Bonuses'!$F$2:$F$101,'Stat Bonuses'!$G$2:$G$101),"")</f>
        <v/>
      </c>
      <c r="L34" s="149" t="str">
        <f>IF(H34&gt;0,LOOKUP(H34,Skills!A2:A467,Skills!B2:B467),"")</f>
        <v>Intuition/Psychic</v>
      </c>
      <c r="M34" s="12" t="e">
        <f t="shared" si="2"/>
        <v>#N/A</v>
      </c>
      <c r="N34" s="104" t="e">
        <f t="shared" si="3"/>
        <v>#N/A</v>
      </c>
    </row>
    <row r="35" spans="1:14">
      <c r="A35" s="223"/>
      <c r="B35" s="12" t="str">
        <f>IF(A35&gt;0,LOOKUP(A35,Melee!A2:A94,Melee!E2:E94),"")</f>
        <v/>
      </c>
      <c r="C35" s="75" t="str">
        <f>IF(A35&gt;0,LOOKUP(A35,Melee!A2:A94,Melee!D2:D94),"")</f>
        <v/>
      </c>
      <c r="D35" s="75" t="str">
        <f>IF(A35&gt;0,LOOKUP(A35,Melee!A2:A94,Melee!C2:C94),"")</f>
        <v/>
      </c>
      <c r="E35" s="75" t="str">
        <f>IF(A35&gt;0,F6,"")</f>
        <v/>
      </c>
      <c r="F35" s="41" t="str">
        <f>IF(A35=0,"",IF(E35=0,D35&amp;R21,IF(E35&lt;0,D35&amp;R21&amp;E35,IF(E35&gt;0,D35&amp;S21&amp;E35))))</f>
        <v/>
      </c>
      <c r="G35" s="11"/>
      <c r="H35" s="224"/>
      <c r="I35" s="90"/>
      <c r="J35" s="226"/>
      <c r="K35" s="12" t="str">
        <f>IF(J35&gt;0,LOOKUP(J35,'Stat Bonuses'!$F$2:$F$101,'Stat Bonuses'!$G$2:$G$101),"")</f>
        <v/>
      </c>
      <c r="L35" s="149" t="str">
        <f>IF(H35&gt;0,LOOKUP(H35,Skills!A2:A467,Skills!B2:B467),"")</f>
        <v/>
      </c>
      <c r="M35" s="12" t="str">
        <f t="shared" si="2"/>
        <v/>
      </c>
      <c r="N35" s="104" t="str">
        <f t="shared" si="3"/>
        <v/>
      </c>
    </row>
    <row r="36" spans="1:14">
      <c r="A36" s="229"/>
      <c r="B36" s="11" t="str">
        <f>IF(A36&gt;0,LOOKUP(A36,Melee!A2:A94,Melee!E2:E94),"")</f>
        <v/>
      </c>
      <c r="C36" s="248" t="str">
        <f>IF(A36&gt;0,LOOKUP(A36,Melee!A2:A94,Melee!D2:D94),"")</f>
        <v/>
      </c>
      <c r="D36" s="248" t="str">
        <f>IF(A36&gt;0,LOOKUP(A36,Melee!A2:A94,Melee!C2:C94),"")</f>
        <v/>
      </c>
      <c r="E36" s="248" t="str">
        <f>IF(A36&gt;0,F6,"")</f>
        <v/>
      </c>
      <c r="F36" s="26" t="str">
        <f>IF(A36=0,"",IF(E36=0,D36&amp;R21,IF(E36&lt;0,D36&amp;R21&amp;E36,IF(E36&gt;0,D36&amp;S21&amp;E36))))</f>
        <v/>
      </c>
      <c r="G36" s="11"/>
      <c r="H36" s="223"/>
      <c r="I36" s="43"/>
      <c r="J36" s="227"/>
      <c r="K36" s="12" t="str">
        <f>IF(J36&gt;0,LOOKUP(J36,'Stat Bonuses'!$F$2:$F$101,'Stat Bonuses'!$G$2:$G$101),"")</f>
        <v/>
      </c>
      <c r="L36" s="149" t="str">
        <f>IF(H36&gt;0,LOOKUP(H36,Skills!A2:A467,Skills!B2:B467),"")</f>
        <v/>
      </c>
      <c r="M36" s="12" t="str">
        <f t="shared" si="2"/>
        <v/>
      </c>
      <c r="N36" s="104" t="str">
        <f>IF(H36&gt;0,$T$22&amp;K36&amp;"+"&amp;M36,"")</f>
        <v/>
      </c>
    </row>
    <row r="37" spans="1:14" ht="14" thickBot="1">
      <c r="A37" s="225"/>
      <c r="B37" s="28" t="str">
        <f>IF(A37&gt;0,LOOKUP(A37,Melee!A2:A94,Melee!E2:E94),"")</f>
        <v/>
      </c>
      <c r="C37" s="78" t="str">
        <f>IF(A37&gt;0,LOOKUP(A37,Melee!A2:A94,Melee!D2:D94),"")</f>
        <v/>
      </c>
      <c r="D37" s="78" t="str">
        <f>IF(A37&gt;0,LOOKUP(A37,Melee!A2:A94,Melee!C2:C94),"")</f>
        <v/>
      </c>
      <c r="E37" s="78" t="str">
        <f>IF(A37&gt;0,F6,"")</f>
        <v/>
      </c>
      <c r="F37" s="29" t="str">
        <f>IF(A37=0,"",IF(E37=0,D37&amp;R21,IF(E37&lt;0,D37&amp;R21&amp;E37,IF(E37&gt;0,D37&amp;S21&amp;E37))))</f>
        <v/>
      </c>
      <c r="G37" s="11"/>
      <c r="H37" s="225"/>
      <c r="I37" s="190"/>
      <c r="J37" s="228"/>
      <c r="K37" s="28" t="str">
        <f>IF(J37&gt;0,LOOKUP(J37,'Stat Bonuses'!$F$2:$F$101,'Stat Bonuses'!$G$2:$G$101),"")</f>
        <v/>
      </c>
      <c r="L37" s="150" t="str">
        <f>IF(H37&gt;0,LOOKUP(H37,Skills!A2:A467,Skills!B2:B467),"")</f>
        <v/>
      </c>
      <c r="M37" s="28" t="str">
        <f>IF(H37&gt;0,LOOKUP(L37,$R$24:$R$37,$S$24:$S$37),"")</f>
        <v/>
      </c>
      <c r="N37" s="105" t="str">
        <f>IF(H37&gt;0,$T$22&amp;K37&amp;"+"&amp;M37,"")</f>
        <v/>
      </c>
    </row>
    <row r="38" spans="1:14" ht="14" thickBot="1">
      <c r="A38" s="25"/>
      <c r="B38" s="11"/>
      <c r="C38" s="11"/>
      <c r="D38" s="11"/>
      <c r="E38" s="248"/>
      <c r="F38" s="11"/>
      <c r="G38" s="10"/>
      <c r="H38" s="10"/>
      <c r="I38" s="10"/>
      <c r="J38" s="10"/>
      <c r="K38" s="10"/>
      <c r="L38" s="10"/>
      <c r="M38" s="10"/>
      <c r="N38" s="185"/>
    </row>
    <row r="39" spans="1:14">
      <c r="A39" s="30" t="s">
        <v>1146</v>
      </c>
      <c r="B39" s="119" t="s">
        <v>1911</v>
      </c>
      <c r="C39" s="119" t="s">
        <v>2035</v>
      </c>
      <c r="D39" s="120" t="s">
        <v>1114</v>
      </c>
      <c r="E39" s="121" t="s">
        <v>1303</v>
      </c>
      <c r="F39" s="119" t="s">
        <v>1106</v>
      </c>
      <c r="G39" s="119"/>
      <c r="H39" s="119" t="s">
        <v>1303</v>
      </c>
      <c r="I39" s="120" t="s">
        <v>2063</v>
      </c>
      <c r="J39" s="121" t="s">
        <v>1303</v>
      </c>
      <c r="K39" s="119" t="s">
        <v>939</v>
      </c>
      <c r="L39" s="119" t="s">
        <v>1303</v>
      </c>
      <c r="M39" s="120" t="s">
        <v>1352</v>
      </c>
      <c r="N39" s="122" t="s">
        <v>1303</v>
      </c>
    </row>
    <row r="40" spans="1:14">
      <c r="A40" s="229"/>
      <c r="B40" s="11">
        <f>S40</f>
        <v>0</v>
      </c>
      <c r="C40" s="248" t="str">
        <f>IF(A40=0,"",IF(T40="Yes",F6,0))</f>
        <v/>
      </c>
      <c r="D40" s="58">
        <f>U40</f>
        <v>0</v>
      </c>
      <c r="E40" s="56" t="str">
        <f>IF($A$40=0,"",IF($C$40=0,V40&amp;$R$21,V40&amp;$S$21&amp;$C$40))</f>
        <v/>
      </c>
      <c r="F40" s="57">
        <f>W40</f>
        <v>0</v>
      </c>
      <c r="G40" s="57"/>
      <c r="H40" s="16" t="str">
        <f>IF($A$40=0,"",IF($C$40=0,Y40&amp;$R$21,Y40&amp;$S$21&amp;$C$40))</f>
        <v/>
      </c>
      <c r="I40" s="58">
        <f>Z40</f>
        <v>0</v>
      </c>
      <c r="J40" s="56" t="str">
        <f>IF($A$40=0,"",IF($C$40=0,AA40&amp;$R$21,AA40&amp;$S$21&amp;$C$40))</f>
        <v/>
      </c>
      <c r="K40" s="57">
        <f>AB40</f>
        <v>0</v>
      </c>
      <c r="L40" s="16" t="str">
        <f>IF($A$40=0,"",IF($C$40=0,AF40&amp;$R$21,AF40&amp;$S$21&amp;$C$40))</f>
        <v/>
      </c>
      <c r="M40" s="58">
        <f>AD40</f>
        <v>0</v>
      </c>
      <c r="N40" s="59" t="str">
        <f>IF($A$40=0,"",IF($C$40=0,AG40&amp;$R$21,AG40&amp;$S$21&amp;$C$40))</f>
        <v/>
      </c>
    </row>
    <row r="41" spans="1:14">
      <c r="A41" s="223"/>
      <c r="B41" s="12">
        <f>S41</f>
        <v>0</v>
      </c>
      <c r="C41" s="75" t="str">
        <f>IF(A41=0,"",IF(T41="Yes",F7,0))</f>
        <v/>
      </c>
      <c r="D41" s="60">
        <f>U41</f>
        <v>0</v>
      </c>
      <c r="E41" s="61" t="str">
        <f>IF($A$41=0,"",IF($C$41=0,V41&amp;$R$21,V41&amp;$S$21&amp;$C$41))</f>
        <v/>
      </c>
      <c r="F41" s="62">
        <f>W41</f>
        <v>0</v>
      </c>
      <c r="G41" s="62"/>
      <c r="H41" s="63" t="str">
        <f>IF($A$41=0,"",IF($C$41=0,Y41&amp;$R$21,Y41&amp;$S$21&amp;$C$41))</f>
        <v/>
      </c>
      <c r="I41" s="64">
        <f>Z41</f>
        <v>0</v>
      </c>
      <c r="J41" s="61" t="str">
        <f>IF($A$41=0,"",IF($C$41=0,AA41&amp;$R$21,AA41&amp;$S$21&amp;$C$41))</f>
        <v/>
      </c>
      <c r="K41" s="63">
        <f>AB41</f>
        <v>0</v>
      </c>
      <c r="L41" s="63" t="str">
        <f>IF($A$41=0,"",IF($C$41=0,AF41&amp;$R$21,AF41&amp;$S$21&amp;$C$41))</f>
        <v/>
      </c>
      <c r="M41" s="60">
        <f>AD41</f>
        <v>0</v>
      </c>
      <c r="N41" s="65" t="str">
        <f>IF($A$41=0,"",IF($C$41=0,AG41&amp;$R$21,AG41&amp;$S$21&amp;$C$41))</f>
        <v/>
      </c>
    </row>
    <row r="42" spans="1:14">
      <c r="A42" s="229"/>
      <c r="B42" s="11">
        <f>S42</f>
        <v>0</v>
      </c>
      <c r="C42" s="248" t="str">
        <f>IF(A42=0,"",IF(T42="Yes",F8,0))</f>
        <v/>
      </c>
      <c r="D42" s="45">
        <f>U42</f>
        <v>0</v>
      </c>
      <c r="E42" s="56" t="str">
        <f>IF($A$42=0,"",IF($C$42=0,V42&amp;$R$21,V42&amp;$S$21&amp;$C$42))</f>
        <v/>
      </c>
      <c r="F42" s="16">
        <f>W42</f>
        <v>0</v>
      </c>
      <c r="G42" s="16"/>
      <c r="H42" s="16" t="str">
        <f>IF($A$42=0,"",IF($C$42=0,Y42&amp;$R$21,Y42&amp;$S$21&amp;$C$42))</f>
        <v/>
      </c>
      <c r="I42" s="45">
        <f>Z42</f>
        <v>0</v>
      </c>
      <c r="J42" s="56" t="str">
        <f>IF($A$42=0,"",IF($C$42=0,AA42&amp;$R$21,AA42&amp;$S$21&amp;$C$42))</f>
        <v/>
      </c>
      <c r="K42" s="16">
        <f>AB42</f>
        <v>0</v>
      </c>
      <c r="L42" s="16" t="str">
        <f>IF($A$42=0,"",IF($C$42=0,AF42&amp;$R$21,AF42&amp;$S$21&amp;$C$42))</f>
        <v/>
      </c>
      <c r="M42" s="45">
        <f>AD42</f>
        <v>0</v>
      </c>
      <c r="N42" s="59" t="str">
        <f>IF($A$42=0,"",IF($C$42=0,AG42&amp;$R$21,AG2&amp;$S$21&amp;$C$42))</f>
        <v/>
      </c>
    </row>
    <row r="43" spans="1:14" ht="14" thickBot="1">
      <c r="A43" s="225"/>
      <c r="B43" s="28">
        <f>S43</f>
        <v>0</v>
      </c>
      <c r="C43" s="78" t="str">
        <f>IF(A43=0,"",IF(T43="Yes",F9,0))</f>
        <v/>
      </c>
      <c r="D43" s="66">
        <f>U43</f>
        <v>0</v>
      </c>
      <c r="E43" s="67" t="str">
        <f>IF($A$43=0,"",IF($C$43=0,V43&amp;$R$21,V43&amp;$S$21&amp;$C$43))</f>
        <v/>
      </c>
      <c r="F43" s="68">
        <f>W43</f>
        <v>0</v>
      </c>
      <c r="G43" s="68"/>
      <c r="H43" s="68" t="str">
        <f>IF($A$43=0,"",IF($C$43=0,Y43&amp;$R$21,Y43&amp;$S$21&amp;$C$43))</f>
        <v/>
      </c>
      <c r="I43" s="66">
        <f>Z43</f>
        <v>0</v>
      </c>
      <c r="J43" s="67" t="str">
        <f>IF($A$43=0,"",IF($C$43=0,AA43&amp;$R$21,AA43&amp;$S$21&amp;$C$43))</f>
        <v/>
      </c>
      <c r="K43" s="68">
        <f>AB43</f>
        <v>0</v>
      </c>
      <c r="L43" s="68" t="str">
        <f>IF($A$43=0,"",IF($C$43=0,AC43&amp;$R$21,AC43&amp;$S$21&amp;$C$43))</f>
        <v/>
      </c>
      <c r="M43" s="66">
        <f>AD43</f>
        <v>0</v>
      </c>
      <c r="N43" s="69" t="str">
        <f>IF($A$43=0,"",IF($C$43=0,AG43&amp;$R$21,AG43&amp;$S$21&amp;$C$43))</f>
        <v/>
      </c>
    </row>
    <row r="44" spans="1:14" ht="14" thickBot="1">
      <c r="A44" s="25"/>
      <c r="B44" s="10"/>
      <c r="C44" s="10"/>
      <c r="D44" s="70"/>
      <c r="E44" s="70"/>
      <c r="F44" s="70"/>
      <c r="G44" s="70"/>
      <c r="H44" s="70"/>
      <c r="I44" s="70"/>
      <c r="J44" s="70"/>
      <c r="K44" s="16"/>
      <c r="L44" s="70"/>
      <c r="M44" s="70"/>
      <c r="N44" s="71"/>
    </row>
    <row r="45" spans="1:14">
      <c r="A45" s="30" t="s">
        <v>1742</v>
      </c>
      <c r="B45" s="119" t="s">
        <v>1911</v>
      </c>
      <c r="C45" s="119" t="s">
        <v>1285</v>
      </c>
      <c r="D45" s="123" t="s">
        <v>1114</v>
      </c>
      <c r="E45" s="124" t="s">
        <v>1303</v>
      </c>
      <c r="F45" s="125" t="s">
        <v>1106</v>
      </c>
      <c r="G45" s="125"/>
      <c r="H45" s="125" t="s">
        <v>1303</v>
      </c>
      <c r="I45" s="123" t="s">
        <v>1348</v>
      </c>
      <c r="J45" s="124" t="s">
        <v>1303</v>
      </c>
      <c r="K45" s="125" t="s">
        <v>939</v>
      </c>
      <c r="L45" s="125" t="s">
        <v>1303</v>
      </c>
      <c r="M45" s="123" t="s">
        <v>1352</v>
      </c>
      <c r="N45" s="126" t="s">
        <v>1303</v>
      </c>
    </row>
    <row r="46" spans="1:14">
      <c r="A46" s="240"/>
      <c r="B46" s="13">
        <f t="shared" ref="B46:M51" si="4">S46</f>
        <v>0</v>
      </c>
      <c r="C46" s="13">
        <f t="shared" si="4"/>
        <v>0</v>
      </c>
      <c r="D46" s="58">
        <f t="shared" si="4"/>
        <v>0</v>
      </c>
      <c r="E46" s="56" t="str">
        <f t="shared" ref="E46:E51" si="5">IF(A46=0,"",V46&amp;$R$21)</f>
        <v/>
      </c>
      <c r="F46" s="57">
        <f t="shared" si="4"/>
        <v>0</v>
      </c>
      <c r="G46" s="57"/>
      <c r="H46" s="16" t="str">
        <f t="shared" ref="H46:H51" si="6">IF(A46=0,"",Y46&amp;$R$21)</f>
        <v/>
      </c>
      <c r="I46" s="58">
        <f t="shared" si="4"/>
        <v>0</v>
      </c>
      <c r="J46" s="56" t="str">
        <f t="shared" ref="J46:J51" si="7">IF(A46=0,"",AA46&amp;$R$21)</f>
        <v/>
      </c>
      <c r="K46" s="57">
        <f t="shared" ref="K46:K51" si="8">AB46</f>
        <v>0</v>
      </c>
      <c r="L46" s="16" t="str">
        <f t="shared" ref="L46:L51" si="9">IF(A46=0,"",AF46&amp;$R$21)</f>
        <v/>
      </c>
      <c r="M46" s="58">
        <f t="shared" si="4"/>
        <v>0</v>
      </c>
      <c r="N46" s="59" t="str">
        <f t="shared" ref="N46:N51" si="10">IF(A46=0,"",AG46&amp;$R$21)</f>
        <v/>
      </c>
    </row>
    <row r="47" spans="1:14">
      <c r="A47" s="222"/>
      <c r="B47" s="14">
        <f t="shared" si="4"/>
        <v>0</v>
      </c>
      <c r="C47" s="14">
        <f t="shared" si="4"/>
        <v>0</v>
      </c>
      <c r="D47" s="64">
        <f t="shared" si="4"/>
        <v>0</v>
      </c>
      <c r="E47" s="61" t="str">
        <f t="shared" si="5"/>
        <v/>
      </c>
      <c r="F47" s="62">
        <f t="shared" si="4"/>
        <v>0</v>
      </c>
      <c r="G47" s="62"/>
      <c r="H47" s="63" t="str">
        <f t="shared" si="6"/>
        <v/>
      </c>
      <c r="I47" s="64">
        <f t="shared" si="4"/>
        <v>0</v>
      </c>
      <c r="J47" s="61" t="str">
        <f t="shared" si="7"/>
        <v/>
      </c>
      <c r="K47" s="62">
        <f t="shared" si="8"/>
        <v>0</v>
      </c>
      <c r="L47" s="63" t="str">
        <f t="shared" si="9"/>
        <v/>
      </c>
      <c r="M47" s="64">
        <f t="shared" si="4"/>
        <v>0</v>
      </c>
      <c r="N47" s="65" t="str">
        <f t="shared" si="10"/>
        <v/>
      </c>
    </row>
    <row r="48" spans="1:14">
      <c r="A48" s="240"/>
      <c r="B48" s="13">
        <f t="shared" si="4"/>
        <v>0</v>
      </c>
      <c r="C48" s="13">
        <f t="shared" si="4"/>
        <v>0</v>
      </c>
      <c r="D48" s="45">
        <f t="shared" si="4"/>
        <v>0</v>
      </c>
      <c r="E48" s="56" t="str">
        <f t="shared" si="5"/>
        <v/>
      </c>
      <c r="F48" s="16">
        <f t="shared" si="4"/>
        <v>0</v>
      </c>
      <c r="G48" s="16"/>
      <c r="H48" s="16" t="str">
        <f t="shared" si="6"/>
        <v/>
      </c>
      <c r="I48" s="45">
        <f t="shared" si="4"/>
        <v>0</v>
      </c>
      <c r="J48" s="56" t="str">
        <f t="shared" si="7"/>
        <v/>
      </c>
      <c r="K48" s="16">
        <f t="shared" si="8"/>
        <v>0</v>
      </c>
      <c r="L48" s="16" t="str">
        <f t="shared" si="9"/>
        <v/>
      </c>
      <c r="M48" s="45">
        <f t="shared" si="4"/>
        <v>0</v>
      </c>
      <c r="N48" s="59" t="str">
        <f t="shared" si="10"/>
        <v/>
      </c>
    </row>
    <row r="49" spans="1:14">
      <c r="A49" s="222"/>
      <c r="B49" s="14">
        <f t="shared" si="4"/>
        <v>0</v>
      </c>
      <c r="C49" s="14">
        <f t="shared" si="4"/>
        <v>0</v>
      </c>
      <c r="D49" s="60">
        <f t="shared" si="4"/>
        <v>0</v>
      </c>
      <c r="E49" s="61" t="str">
        <f t="shared" si="5"/>
        <v/>
      </c>
      <c r="F49" s="63">
        <f t="shared" si="4"/>
        <v>0</v>
      </c>
      <c r="G49" s="63"/>
      <c r="H49" s="63" t="str">
        <f t="shared" si="6"/>
        <v/>
      </c>
      <c r="I49" s="60">
        <f t="shared" si="4"/>
        <v>0</v>
      </c>
      <c r="J49" s="61" t="str">
        <f t="shared" si="7"/>
        <v/>
      </c>
      <c r="K49" s="63">
        <f t="shared" si="8"/>
        <v>0</v>
      </c>
      <c r="L49" s="63" t="str">
        <f t="shared" si="9"/>
        <v/>
      </c>
      <c r="M49" s="60">
        <f t="shared" si="4"/>
        <v>0</v>
      </c>
      <c r="N49" s="65" t="str">
        <f t="shared" si="10"/>
        <v/>
      </c>
    </row>
    <row r="50" spans="1:14">
      <c r="A50" s="240"/>
      <c r="B50" s="13">
        <f t="shared" si="4"/>
        <v>0</v>
      </c>
      <c r="C50" s="13">
        <f t="shared" si="4"/>
        <v>0</v>
      </c>
      <c r="D50" s="45">
        <f t="shared" si="4"/>
        <v>0</v>
      </c>
      <c r="E50" s="56" t="str">
        <f t="shared" si="5"/>
        <v/>
      </c>
      <c r="F50" s="16">
        <f t="shared" si="4"/>
        <v>0</v>
      </c>
      <c r="G50" s="16"/>
      <c r="H50" s="16" t="str">
        <f t="shared" si="6"/>
        <v/>
      </c>
      <c r="I50" s="45">
        <f t="shared" si="4"/>
        <v>0</v>
      </c>
      <c r="J50" s="56" t="str">
        <f t="shared" si="7"/>
        <v/>
      </c>
      <c r="K50" s="16">
        <f t="shared" si="8"/>
        <v>0</v>
      </c>
      <c r="L50" s="16" t="str">
        <f t="shared" si="9"/>
        <v/>
      </c>
      <c r="M50" s="45">
        <f t="shared" si="4"/>
        <v>0</v>
      </c>
      <c r="N50" s="59" t="str">
        <f t="shared" si="10"/>
        <v/>
      </c>
    </row>
    <row r="51" spans="1:14" ht="14" thickBot="1">
      <c r="A51" s="241"/>
      <c r="B51" s="31">
        <f t="shared" si="4"/>
        <v>0</v>
      </c>
      <c r="C51" s="31">
        <f t="shared" si="4"/>
        <v>0</v>
      </c>
      <c r="D51" s="66">
        <f t="shared" si="4"/>
        <v>0</v>
      </c>
      <c r="E51" s="67" t="str">
        <f t="shared" si="5"/>
        <v/>
      </c>
      <c r="F51" s="68">
        <f t="shared" si="4"/>
        <v>0</v>
      </c>
      <c r="G51" s="68"/>
      <c r="H51" s="68" t="str">
        <f t="shared" si="6"/>
        <v/>
      </c>
      <c r="I51" s="66">
        <f t="shared" si="4"/>
        <v>0</v>
      </c>
      <c r="J51" s="67" t="str">
        <f t="shared" si="7"/>
        <v/>
      </c>
      <c r="K51" s="68">
        <f t="shared" si="8"/>
        <v>0</v>
      </c>
      <c r="L51" s="68" t="str">
        <f t="shared" si="9"/>
        <v/>
      </c>
      <c r="M51" s="66">
        <f t="shared" si="4"/>
        <v>0</v>
      </c>
      <c r="N51" s="69" t="str">
        <f t="shared" si="10"/>
        <v/>
      </c>
    </row>
  </sheetData>
  <sheetCalcPr fullCalcOnLoad="1"/>
  <mergeCells count="1">
    <mergeCell ref="M6:M8"/>
  </mergeCells>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51"/>
  <sheetViews>
    <sheetView workbookViewId="0">
      <selection sqref="A1:O51"/>
    </sheetView>
  </sheetViews>
  <sheetFormatPr baseColWidth="10" defaultRowHeight="13"/>
  <sheetData>
    <row r="1" spans="1:15">
      <c r="A1" s="131" t="s">
        <v>2033</v>
      </c>
      <c r="B1" s="47"/>
      <c r="C1" s="17" t="s">
        <v>1908</v>
      </c>
      <c r="D1" s="47"/>
      <c r="E1" s="159">
        <f>CharSheetFront!E15+CharSheetFront!E2</f>
        <v>19</v>
      </c>
      <c r="F1" s="47" t="s">
        <v>1631</v>
      </c>
      <c r="G1" s="73"/>
      <c r="H1" s="157">
        <f>CharSheetFront!E7</f>
        <v>15</v>
      </c>
      <c r="I1" s="35"/>
      <c r="J1" s="17" t="s">
        <v>1002</v>
      </c>
      <c r="K1" s="18" t="s">
        <v>1702</v>
      </c>
      <c r="L1" s="18" t="s">
        <v>703</v>
      </c>
      <c r="M1" s="18" t="s">
        <v>1799</v>
      </c>
      <c r="N1" s="18" t="s">
        <v>703</v>
      </c>
      <c r="O1" s="19" t="s">
        <v>1595</v>
      </c>
    </row>
    <row r="2" spans="1:15">
      <c r="A2" s="147"/>
      <c r="B2" s="15"/>
      <c r="C2" s="48" t="s">
        <v>1869</v>
      </c>
      <c r="D2" s="2"/>
      <c r="E2" s="166">
        <f>(CharSheetFront!E16+CharSheetFront!E14+CharSheetFront!E2)</f>
        <v>30</v>
      </c>
      <c r="F2" s="15" t="s">
        <v>1257</v>
      </c>
      <c r="G2" s="2"/>
      <c r="H2" s="158"/>
      <c r="I2" s="49"/>
      <c r="J2" s="42" t="s">
        <v>1398</v>
      </c>
      <c r="K2" s="12">
        <v>6</v>
      </c>
      <c r="L2" s="9" t="e">
        <f>IF(J2&gt;0,LOOKUP(K2,'Stat Bonuses'!$F$2:$F$101,'Stat Bonuses'!$G$2:$G$101),"")</f>
        <v>#N/A</v>
      </c>
      <c r="M2" s="149" t="str">
        <f>IF(J2&gt;0,LOOKUP(J2,Skills!$A$2:$A$467,Skills!$B$2:$B$467),"")</f>
        <v>Intelligence</v>
      </c>
      <c r="N2" s="9" t="e">
        <f>IF(J2&gt;0,LOOKUP(M2,$Q$2:$Q$15,$R$2:$R$15),"")</f>
        <v>#N/A</v>
      </c>
      <c r="O2" s="237" t="e">
        <f>IF(J2&gt;0,CharSheetFront!$T$22&amp;L2&amp;"+"&amp;CharSheetBack!N2,"")</f>
        <v>#N/A</v>
      </c>
    </row>
    <row r="3" spans="1:15">
      <c r="A3" s="146"/>
      <c r="B3" s="129"/>
      <c r="C3" s="153"/>
      <c r="D3" s="3"/>
      <c r="E3" s="160"/>
      <c r="F3" s="15"/>
      <c r="G3" s="2"/>
      <c r="H3" s="158"/>
      <c r="I3" s="49"/>
      <c r="J3" s="42" t="s">
        <v>646</v>
      </c>
      <c r="K3" s="12">
        <v>6</v>
      </c>
      <c r="L3" s="9" t="e">
        <f>IF(J3&gt;0,LOOKUP(K3,'Stat Bonuses'!$F$2:$F$101,'Stat Bonuses'!$G$2:$G$101),"")</f>
        <v>#N/A</v>
      </c>
      <c r="M3" s="149" t="str">
        <f>IF(J3&gt;0,LOOKUP(J3,Skills!$A$2:$A$467,Skills!$B$2:$B$467),"")</f>
        <v>Intelligence</v>
      </c>
      <c r="N3" s="9" t="e">
        <f>IF(J3&gt;0,LOOKUP(M2,$Q$2:$Q$15,$R$2:$R$15),"")</f>
        <v>#N/A</v>
      </c>
      <c r="O3" s="237" t="e">
        <f>IF(J3&gt;0,CharSheetFront!$T$22&amp;L3&amp;"+"&amp;CharSheetBack!N3,"")</f>
        <v>#N/A</v>
      </c>
    </row>
    <row r="4" spans="1:15">
      <c r="A4" s="147"/>
      <c r="B4" s="2"/>
      <c r="C4" s="154" t="s">
        <v>1163</v>
      </c>
      <c r="D4" s="84"/>
      <c r="E4" s="161">
        <f>E2</f>
        <v>30</v>
      </c>
      <c r="F4" s="83" t="s">
        <v>1334</v>
      </c>
      <c r="G4" s="156"/>
      <c r="H4" s="165">
        <f>(H1+H2+CharSheetFront!E2)</f>
        <v>18</v>
      </c>
      <c r="I4" s="2"/>
      <c r="J4" s="242" t="s">
        <v>1978</v>
      </c>
      <c r="K4" s="12">
        <v>4</v>
      </c>
      <c r="L4" s="9" t="e">
        <f>IF(J4&gt;0,LOOKUP(K4,'Stat Bonuses'!$F$2:$F$101,'Stat Bonuses'!$G$2:$G$101),"")</f>
        <v>#N/A</v>
      </c>
      <c r="M4" s="149" t="str">
        <f>IF(J4&gt;0,LOOKUP(J4,Skills!$A$2:$A$467,Skills!$B$2:$B$467),"")</f>
        <v>Presence</v>
      </c>
      <c r="N4" s="9" t="e">
        <f t="shared" ref="N4:N29" si="0">IF(J4&gt;0,LOOKUP(M3,$Q$2:$Q$15,$R$2:$R$15),"")</f>
        <v>#N/A</v>
      </c>
      <c r="O4" s="237" t="e">
        <f>IF(J4&gt;0,CharSheetFront!$T$22&amp;L4&amp;"+"&amp;CharSheetBack!N4,"")</f>
        <v>#N/A</v>
      </c>
    </row>
    <row r="5" spans="1:15">
      <c r="A5" s="146"/>
      <c r="B5" s="129"/>
      <c r="C5" s="48"/>
      <c r="D5" s="8"/>
      <c r="E5" s="2"/>
      <c r="F5" s="1"/>
      <c r="G5" s="2"/>
      <c r="H5" s="162" t="s">
        <v>1296</v>
      </c>
      <c r="I5" s="8"/>
      <c r="J5" s="243" t="s">
        <v>923</v>
      </c>
      <c r="K5" s="12">
        <v>4</v>
      </c>
      <c r="L5" s="9" t="e">
        <f>IF(J5&gt;0,LOOKUP(K5,'Stat Bonuses'!$F$2:$F$101,'Stat Bonuses'!$G$2:$G$101),"")</f>
        <v>#N/A</v>
      </c>
      <c r="M5" s="149" t="str">
        <f>IF(J5&gt;0,LOOKUP(J5,Skills!$A$2:$A$467,Skills!$B$2:$B$467),"")</f>
        <v>Initiative</v>
      </c>
      <c r="N5" s="9" t="e">
        <f t="shared" si="0"/>
        <v>#N/A</v>
      </c>
      <c r="O5" s="237" t="e">
        <f>IF(J5&gt;0,CharSheetFront!$T$22&amp;L5&amp;"+"&amp;CharSheetBack!N5,"")</f>
        <v>#N/A</v>
      </c>
    </row>
    <row r="6" spans="1:15">
      <c r="A6" s="247"/>
      <c r="B6" s="110"/>
      <c r="C6" s="20"/>
      <c r="D6" s="2"/>
      <c r="E6" s="2"/>
      <c r="F6" s="1"/>
      <c r="G6" s="2"/>
      <c r="H6" s="163" t="s">
        <v>1770</v>
      </c>
      <c r="I6" s="13"/>
      <c r="J6" s="242" t="s">
        <v>1256</v>
      </c>
      <c r="K6" s="89">
        <v>4</v>
      </c>
      <c r="L6" s="9" t="e">
        <f>IF(J6&gt;0,LOOKUP(K6,'Stat Bonuses'!$F$2:$F$101,'Stat Bonuses'!$G$2:$G$101),"")</f>
        <v>#N/A</v>
      </c>
      <c r="M6" s="149" t="str">
        <f>IF(J6&gt;0,LOOKUP(J6,Skills!$A$2:$A$467,Skills!$B$2:$B$467),"")</f>
        <v>Awareness</v>
      </c>
      <c r="N6" s="9" t="e">
        <f t="shared" si="0"/>
        <v>#N/A</v>
      </c>
      <c r="O6" s="237" t="e">
        <f>IF(J6&gt;0,CharSheetFront!$T$22&amp;L6&amp;"+"&amp;CharSheetBack!N6,"")</f>
        <v>#N/A</v>
      </c>
    </row>
    <row r="7" spans="1:15" ht="14" thickBot="1">
      <c r="A7" s="146"/>
      <c r="B7" s="129"/>
      <c r="C7" s="155"/>
      <c r="D7" s="23"/>
      <c r="E7" s="23"/>
      <c r="F7" s="66"/>
      <c r="G7" s="68"/>
      <c r="H7" s="164" t="s">
        <v>1724</v>
      </c>
      <c r="I7" s="13"/>
      <c r="J7" s="243" t="s">
        <v>1921</v>
      </c>
      <c r="K7" s="12">
        <v>4</v>
      </c>
      <c r="L7" s="9" t="e">
        <f>IF(J7&gt;0,LOOKUP(K7,'Stat Bonuses'!$F$2:$F$101,'Stat Bonuses'!$G$2:$G$101),"")</f>
        <v>#N/A</v>
      </c>
      <c r="M7" s="149" t="str">
        <f>IF(J7&gt;0,LOOKUP(J7,Skills!$A$2:$A$467,Skills!$B$2:$B$467),"")</f>
        <v>Intelligence</v>
      </c>
      <c r="N7" s="9" t="e">
        <f t="shared" si="0"/>
        <v>#N/A</v>
      </c>
      <c r="O7" s="237" t="e">
        <f>IF(J7&gt;0,CharSheetFront!$T$22&amp;L7&amp;"+"&amp;CharSheetBack!N7,"")</f>
        <v>#N/A</v>
      </c>
    </row>
    <row r="8" spans="1:15" ht="14" thickBot="1">
      <c r="A8" s="247"/>
      <c r="B8" s="110"/>
      <c r="C8" s="138"/>
      <c r="D8" s="16"/>
      <c r="I8" s="13"/>
      <c r="J8" s="243" t="s">
        <v>1372</v>
      </c>
      <c r="K8" s="12">
        <v>4</v>
      </c>
      <c r="L8" s="9" t="e">
        <f>IF(J8&gt;0,LOOKUP(K8,'Stat Bonuses'!$F$2:$F$101,'Stat Bonuses'!$G$2:$G$101),"")</f>
        <v>#N/A</v>
      </c>
      <c r="M8" s="149" t="str">
        <f>IF(J8&gt;0,LOOKUP(J8,Skills!$A$2:$A$467,Skills!$B$2:$B$467),"")</f>
        <v>Initiative</v>
      </c>
      <c r="N8" s="9" t="e">
        <f t="shared" si="0"/>
        <v>#N/A</v>
      </c>
      <c r="O8" s="237" t="e">
        <f>IF(J8&gt;0,CharSheetFront!$T$22&amp;L8&amp;"+"&amp;CharSheetBack!N8,"")</f>
        <v>#N/A</v>
      </c>
    </row>
    <row r="9" spans="1:15">
      <c r="A9" s="146"/>
      <c r="B9" s="129"/>
      <c r="C9" s="140" t="s">
        <v>1672</v>
      </c>
      <c r="D9" s="72"/>
      <c r="E9" s="34"/>
      <c r="F9" s="34"/>
      <c r="G9" s="34"/>
      <c r="H9" s="82"/>
      <c r="I9" s="13"/>
      <c r="J9" s="222"/>
      <c r="K9" s="226"/>
      <c r="L9" s="9" t="str">
        <f>IF(J9&gt;0,LOOKUP(K9,'Stat Bonuses'!$F$2:$F$101,'Stat Bonuses'!$G$2:$G$101),"")</f>
        <v/>
      </c>
      <c r="M9" s="149" t="str">
        <f>IF(J9&gt;0,LOOKUP(J9,Skills!$A$2:$A$467,Skills!$B$2:$B$467),"")</f>
        <v/>
      </c>
      <c r="N9" s="9" t="str">
        <f t="shared" si="0"/>
        <v/>
      </c>
      <c r="O9" s="237" t="str">
        <f>IF(J9&gt;0,CharSheetFront!$T$22&amp;L9&amp;"+"&amp;CharSheetBack!N9,"")</f>
        <v/>
      </c>
    </row>
    <row r="10" spans="1:15">
      <c r="A10" s="247"/>
      <c r="B10" s="110"/>
      <c r="C10" s="141" t="s">
        <v>1665</v>
      </c>
      <c r="D10" s="63"/>
      <c r="E10" s="138" t="s">
        <v>1260</v>
      </c>
      <c r="F10" s="63"/>
      <c r="G10" s="10" t="s">
        <v>1530</v>
      </c>
      <c r="H10" s="65"/>
      <c r="I10" s="13"/>
      <c r="J10" s="223"/>
      <c r="K10" s="226"/>
      <c r="L10" s="9" t="str">
        <f>IF(J10&gt;0,LOOKUP(K10,'Stat Bonuses'!$F$2:$F$101,'Stat Bonuses'!$G$2:$G$101),"")</f>
        <v/>
      </c>
      <c r="M10" s="149" t="str">
        <f>IF(J10&gt;0,LOOKUP(J10,Skills!$A$2:$A$467,Skills!$B$2:$B$467),"")</f>
        <v/>
      </c>
      <c r="N10" s="9" t="str">
        <f t="shared" si="0"/>
        <v/>
      </c>
      <c r="O10" s="237" t="str">
        <f>IF(J10&gt;0,CharSheetFront!$T$22&amp;L10&amp;"+"&amp;CharSheetBack!N10,"")</f>
        <v/>
      </c>
    </row>
    <row r="11" spans="1:15">
      <c r="A11" s="146"/>
      <c r="B11" s="129"/>
      <c r="C11" s="141" t="s">
        <v>576</v>
      </c>
      <c r="D11" s="63"/>
      <c r="E11" s="138" t="s">
        <v>1624</v>
      </c>
      <c r="F11" s="63"/>
      <c r="G11" s="138" t="s">
        <v>1915</v>
      </c>
      <c r="H11" s="65"/>
      <c r="I11" s="13"/>
      <c r="J11" s="223"/>
      <c r="K11" s="226"/>
      <c r="L11" s="9" t="str">
        <f>IF(J11&gt;0,LOOKUP(K11,'Stat Bonuses'!$F$2:$F$101,'Stat Bonuses'!$G$2:$G$101),"")</f>
        <v/>
      </c>
      <c r="M11" s="149" t="str">
        <f>IF(J11&gt;0,LOOKUP(J11,Skills!$A$2:$A$467,Skills!$B$2:$B$467),"")</f>
        <v/>
      </c>
      <c r="N11" s="9" t="str">
        <f t="shared" si="0"/>
        <v/>
      </c>
      <c r="O11" s="237" t="str">
        <f>IF(J11&gt;0,CharSheetFront!$T$22&amp;L11&amp;"+"&amp;CharSheetBack!N11,"")</f>
        <v/>
      </c>
    </row>
    <row r="12" spans="1:15">
      <c r="A12" s="134"/>
      <c r="B12" s="129"/>
      <c r="C12" s="141" t="s">
        <v>577</v>
      </c>
      <c r="D12" s="63"/>
      <c r="E12" s="138" t="s">
        <v>1684</v>
      </c>
      <c r="F12" s="63"/>
      <c r="G12" s="138" t="s">
        <v>1533</v>
      </c>
      <c r="H12" s="65"/>
      <c r="I12" s="13"/>
      <c r="J12" s="224"/>
      <c r="K12" s="226"/>
      <c r="L12" s="9" t="str">
        <f>IF(J12&gt;0,LOOKUP(K12,'Stat Bonuses'!$F$2:$F$101,'Stat Bonuses'!$G$2:$G$101),"")</f>
        <v/>
      </c>
      <c r="M12" s="149" t="str">
        <f>IF(J12&gt;0,LOOKUP(J12,Skills!$A$2:$A$467,Skills!$B$2:$B$467),"")</f>
        <v/>
      </c>
      <c r="N12" s="9" t="str">
        <f t="shared" si="0"/>
        <v/>
      </c>
      <c r="O12" s="237" t="str">
        <f>IF(J12&gt;0,CharSheetFront!$T$22&amp;L12&amp;"+"&amp;CharSheetBack!N12,"")</f>
        <v/>
      </c>
    </row>
    <row r="13" spans="1:15">
      <c r="A13" s="146"/>
      <c r="B13" s="129"/>
      <c r="C13" s="20"/>
      <c r="D13" s="138"/>
      <c r="E13" s="138"/>
      <c r="F13" s="138"/>
      <c r="G13" s="138"/>
      <c r="H13" s="142"/>
      <c r="I13" s="13"/>
      <c r="J13" s="223"/>
      <c r="K13" s="227"/>
      <c r="L13" s="9" t="str">
        <f>IF(J13&gt;0,LOOKUP(K13,'Stat Bonuses'!$F$2:$F$101,'Stat Bonuses'!$G$2:$G$101),"")</f>
        <v/>
      </c>
      <c r="M13" s="149" t="str">
        <f>IF(J13&gt;0,LOOKUP(J13,Skills!$A$2:$A$467,Skills!$B$2:$B$467),"")</f>
        <v/>
      </c>
      <c r="N13" s="9" t="str">
        <f t="shared" si="0"/>
        <v/>
      </c>
      <c r="O13" s="237" t="str">
        <f>IF(J13&gt;0,CharSheetFront!$T$22&amp;L13&amp;"+"&amp;CharSheetBack!N13,"")</f>
        <v/>
      </c>
    </row>
    <row r="14" spans="1:15">
      <c r="A14" s="247"/>
      <c r="B14" s="110"/>
      <c r="C14" s="474" t="s">
        <v>1344</v>
      </c>
      <c r="D14" s="475"/>
      <c r="E14" s="475"/>
      <c r="F14" s="475"/>
      <c r="G14" s="475"/>
      <c r="H14" s="476"/>
      <c r="I14" s="13"/>
      <c r="J14" s="224"/>
      <c r="K14" s="226"/>
      <c r="L14" s="9" t="str">
        <f>IF(J14&gt;0,LOOKUP(K14,'Stat Bonuses'!$F$2:$F$101,'Stat Bonuses'!$G$2:$G$101),"")</f>
        <v/>
      </c>
      <c r="M14" s="149" t="str">
        <f>IF(J14&gt;0,LOOKUP(J14,Skills!$A$2:$A$467,Skills!$B$2:$B$467),"")</f>
        <v/>
      </c>
      <c r="N14" s="9" t="str">
        <f t="shared" si="0"/>
        <v/>
      </c>
      <c r="O14" s="237" t="str">
        <f>IF(J14&gt;0,CharSheetFront!$T$22&amp;L14&amp;"+"&amp;CharSheetBack!N14,"")</f>
        <v/>
      </c>
    </row>
    <row r="15" spans="1:15">
      <c r="A15" s="146"/>
      <c r="B15" s="129"/>
      <c r="C15" s="477"/>
      <c r="D15" s="478"/>
      <c r="E15" s="478"/>
      <c r="F15" s="478"/>
      <c r="G15" s="478"/>
      <c r="H15" s="479"/>
      <c r="I15" s="13"/>
      <c r="J15" s="223"/>
      <c r="K15" s="227"/>
      <c r="L15" s="9" t="str">
        <f>IF(J15&gt;0,LOOKUP(K15,'Stat Bonuses'!$F$2:$F$101,'Stat Bonuses'!$G$2:$G$101),"")</f>
        <v/>
      </c>
      <c r="M15" s="149" t="str">
        <f>IF(J15&gt;0,LOOKUP(J15,Skills!$A$2:$A$467,Skills!$B$2:$B$467),"")</f>
        <v/>
      </c>
      <c r="N15" s="9" t="str">
        <f t="shared" si="0"/>
        <v/>
      </c>
      <c r="O15" s="237" t="str">
        <f>IF(J15&gt;0,CharSheetFront!$T$22&amp;L15&amp;"+"&amp;CharSheetBack!N15,"")</f>
        <v/>
      </c>
    </row>
    <row r="16" spans="1:15">
      <c r="A16" s="247"/>
      <c r="B16" s="110"/>
      <c r="C16" s="480"/>
      <c r="D16" s="481"/>
      <c r="E16" s="481"/>
      <c r="F16" s="481"/>
      <c r="G16" s="481"/>
      <c r="H16" s="482"/>
      <c r="I16" s="13"/>
      <c r="J16" s="223"/>
      <c r="K16" s="227"/>
      <c r="L16" s="9" t="str">
        <f>IF(J16&gt;0,LOOKUP(K16,'Stat Bonuses'!$F$2:$F$101,'Stat Bonuses'!$G$2:$G$101),"")</f>
        <v/>
      </c>
      <c r="M16" s="149" t="str">
        <f>IF(J16&gt;0,LOOKUP(J16,Skills!$A$2:$A$467,Skills!$B$2:$B$467),"")</f>
        <v/>
      </c>
      <c r="N16" s="9" t="str">
        <f t="shared" si="0"/>
        <v/>
      </c>
      <c r="O16" s="237" t="str">
        <f>IF(J16&gt;0,CharSheetFront!$T$22&amp;L16&amp;"+"&amp;CharSheetBack!N16,"")</f>
        <v/>
      </c>
    </row>
    <row r="17" spans="1:15" ht="14" thickBot="1">
      <c r="A17" s="148"/>
      <c r="B17" s="129"/>
      <c r="C17" s="474" t="s">
        <v>1359</v>
      </c>
      <c r="D17" s="475"/>
      <c r="E17" s="475"/>
      <c r="F17" s="475"/>
      <c r="G17" s="475"/>
      <c r="H17" s="476"/>
      <c r="I17" s="13"/>
      <c r="J17" s="223"/>
      <c r="K17" s="227"/>
      <c r="L17" s="9" t="str">
        <f>IF(J17&gt;0,LOOKUP(K17,'Stat Bonuses'!$F$2:$F$101,'Stat Bonuses'!$G$2:$G$101),"")</f>
        <v/>
      </c>
      <c r="M17" s="149" t="str">
        <f>IF(J17&gt;0,LOOKUP(J17,Skills!$A$2:$A$467,Skills!$B$2:$B$467),"")</f>
        <v/>
      </c>
      <c r="N17" s="9" t="str">
        <f t="shared" si="0"/>
        <v/>
      </c>
      <c r="O17" s="237" t="str">
        <f>IF(J17&gt;0,CharSheetFront!$T$22&amp;L17&amp;"+"&amp;CharSheetBack!N17,"")</f>
        <v/>
      </c>
    </row>
    <row r="18" spans="1:15">
      <c r="A18" s="136" t="s">
        <v>1728</v>
      </c>
      <c r="B18" s="110"/>
      <c r="C18" s="477"/>
      <c r="D18" s="478"/>
      <c r="E18" s="478"/>
      <c r="F18" s="478"/>
      <c r="G18" s="478"/>
      <c r="H18" s="479"/>
      <c r="I18" s="13"/>
      <c r="J18" s="223"/>
      <c r="K18" s="227"/>
      <c r="L18" s="9" t="str">
        <f>IF(J18&gt;0,LOOKUP(K18,'Stat Bonuses'!$F$2:$F$101,'Stat Bonuses'!$G$2:$G$101),"")</f>
        <v/>
      </c>
      <c r="M18" s="149" t="str">
        <f>IF(J18&gt;0,LOOKUP(J18,Skills!$A$2:$A$467,Skills!$B$2:$B$467),"")</f>
        <v/>
      </c>
      <c r="N18" s="9" t="str">
        <f t="shared" si="0"/>
        <v/>
      </c>
      <c r="O18" s="237" t="str">
        <f>IF(J18&gt;0,CharSheetFront!$T$22&amp;L18&amp;"+"&amp;CharSheetBack!N18,"")</f>
        <v/>
      </c>
    </row>
    <row r="19" spans="1:15" ht="14" thickBot="1">
      <c r="A19" s="218"/>
      <c r="B19" s="245"/>
      <c r="C19" s="483"/>
      <c r="D19" s="484"/>
      <c r="E19" s="484"/>
      <c r="F19" s="484"/>
      <c r="G19" s="484"/>
      <c r="H19" s="485"/>
      <c r="I19" s="13"/>
      <c r="J19" s="223"/>
      <c r="K19" s="227"/>
      <c r="L19" s="9" t="str">
        <f>IF(J19&gt;0,LOOKUP(K19,'Stat Bonuses'!$F$2:$F$101,'Stat Bonuses'!$G$2:$G$101),"")</f>
        <v/>
      </c>
      <c r="M19" s="149" t="str">
        <f>IF(J19&gt;0,LOOKUP(J19,Skills!$A$2:$A$467,Skills!$B$2:$B$467),"")</f>
        <v/>
      </c>
      <c r="N19" s="9" t="str">
        <f t="shared" si="0"/>
        <v/>
      </c>
      <c r="O19" s="237" t="str">
        <f>IF(J19&gt;0,CharSheetFront!$T$22&amp;L19&amp;"+"&amp;CharSheetBack!N19,"")</f>
        <v/>
      </c>
    </row>
    <row r="20" spans="1:15" ht="14" thickBot="1">
      <c r="A20" s="219"/>
      <c r="B20" s="246"/>
      <c r="C20" s="138"/>
      <c r="D20" s="138"/>
      <c r="E20" s="138"/>
      <c r="F20" s="138"/>
      <c r="G20" s="138"/>
      <c r="H20" s="138"/>
      <c r="I20" s="16"/>
      <c r="J20" s="223"/>
      <c r="K20" s="227"/>
      <c r="L20" s="9" t="str">
        <f>IF(J20&gt;0,LOOKUP(K20,'Stat Bonuses'!$F$2:$F$101,'Stat Bonuses'!$G$2:$G$101),"")</f>
        <v/>
      </c>
      <c r="M20" s="149" t="str">
        <f>IF(J20&gt;0,LOOKUP(J20,Skills!$A$2:$A$467,Skills!$B$2:$B$467),"")</f>
        <v/>
      </c>
      <c r="N20" s="9" t="str">
        <f t="shared" si="0"/>
        <v/>
      </c>
      <c r="O20" s="237" t="str">
        <f>IF(J20&gt;0,CharSheetFront!$T$22&amp;L20&amp;"+"&amp;CharSheetBack!N20,"")</f>
        <v/>
      </c>
    </row>
    <row r="21" spans="1:15">
      <c r="A21" s="218"/>
      <c r="B21" s="245"/>
      <c r="C21" s="88" t="s">
        <v>1630</v>
      </c>
      <c r="D21" s="143"/>
      <c r="E21" s="143"/>
      <c r="F21" s="143"/>
      <c r="G21" s="143"/>
      <c r="H21" s="144"/>
      <c r="I21" s="16"/>
      <c r="J21" s="223"/>
      <c r="K21" s="227"/>
      <c r="L21" s="9" t="str">
        <f>IF(J21&gt;0,LOOKUP(K21,'Stat Bonuses'!$F$2:$F$101,'Stat Bonuses'!$G$2:$G$101),"")</f>
        <v/>
      </c>
      <c r="M21" s="149" t="str">
        <f>IF(J21&gt;0,LOOKUP(J21,Skills!$A$2:$A$467,Skills!$B$2:$B$467),"")</f>
        <v/>
      </c>
      <c r="N21" s="9" t="str">
        <f t="shared" si="0"/>
        <v/>
      </c>
      <c r="O21" s="237" t="str">
        <f>IF(J21&gt;0,CharSheetFront!$T$22&amp;L21&amp;"+"&amp;CharSheetBack!N21,"")</f>
        <v/>
      </c>
    </row>
    <row r="22" spans="1:15">
      <c r="A22" s="220"/>
      <c r="B22" s="245"/>
      <c r="C22" s="486" t="s">
        <v>911</v>
      </c>
      <c r="D22" s="478"/>
      <c r="E22" s="478"/>
      <c r="F22" s="478"/>
      <c r="G22" s="478"/>
      <c r="H22" s="479"/>
      <c r="I22" s="2"/>
      <c r="J22" s="223"/>
      <c r="K22" s="227"/>
      <c r="L22" s="9" t="str">
        <f>IF(J22&gt;0,LOOKUP(K22,'Stat Bonuses'!$F$2:$F$101,'Stat Bonuses'!$G$2:$G$101),"")</f>
        <v/>
      </c>
      <c r="M22" s="149" t="str">
        <f>IF(J22&gt;0,LOOKUP(J22,Skills!$A$2:$A$467,Skills!$B$2:$B$467),"")</f>
        <v/>
      </c>
      <c r="N22" s="9" t="str">
        <f t="shared" si="0"/>
        <v/>
      </c>
      <c r="O22" s="237" t="str">
        <f>IF(J22&gt;0,CharSheetFront!$T$22&amp;L22&amp;"+"&amp;CharSheetBack!N22,"")</f>
        <v/>
      </c>
    </row>
    <row r="23" spans="1:15">
      <c r="A23" s="218"/>
      <c r="B23" s="245"/>
      <c r="C23" s="477"/>
      <c r="D23" s="478"/>
      <c r="E23" s="478"/>
      <c r="F23" s="478"/>
      <c r="G23" s="478"/>
      <c r="H23" s="479"/>
      <c r="I23" s="7"/>
      <c r="J23" s="223"/>
      <c r="K23" s="227"/>
      <c r="L23" s="9" t="str">
        <f>IF(J23&gt;0,LOOKUP(K23,'Stat Bonuses'!$F$2:$F$101,'Stat Bonuses'!$G$2:$G$101),"")</f>
        <v/>
      </c>
      <c r="M23" s="149" t="str">
        <f>IF(J23&gt;0,LOOKUP(J23,Skills!$A$2:$A$467,Skills!$B$2:$B$467),"")</f>
        <v/>
      </c>
      <c r="N23" s="9" t="str">
        <f t="shared" si="0"/>
        <v/>
      </c>
      <c r="O23" s="237" t="str">
        <f>IF(J23&gt;0,CharSheetFront!$T$22&amp;L23&amp;"+"&amp;CharSheetBack!N23,"")</f>
        <v/>
      </c>
    </row>
    <row r="24" spans="1:15">
      <c r="A24" s="220"/>
      <c r="B24" s="245"/>
      <c r="C24" s="477"/>
      <c r="D24" s="478"/>
      <c r="E24" s="478"/>
      <c r="F24" s="478"/>
      <c r="G24" s="478"/>
      <c r="H24" s="479"/>
      <c r="I24" s="8"/>
      <c r="J24" s="223"/>
      <c r="K24" s="227"/>
      <c r="L24" s="9" t="str">
        <f>IF(J24&gt;0,LOOKUP(K24,'Stat Bonuses'!$F$2:$F$101,'Stat Bonuses'!$G$2:$G$101),"")</f>
        <v/>
      </c>
      <c r="M24" s="149" t="str">
        <f>IF(J24&gt;0,LOOKUP(J24,Skills!$A$2:$A$467,Skills!$B$2:$B$467),"")</f>
        <v/>
      </c>
      <c r="N24" s="9" t="str">
        <f t="shared" si="0"/>
        <v/>
      </c>
      <c r="O24" s="237" t="str">
        <f>IF(J24&gt;0,CharSheetFront!$T$22&amp;L24&amp;"+"&amp;CharSheetBack!N24,"")</f>
        <v/>
      </c>
    </row>
    <row r="25" spans="1:15">
      <c r="A25" s="218"/>
      <c r="B25" s="245"/>
      <c r="C25" s="477"/>
      <c r="D25" s="478"/>
      <c r="E25" s="478"/>
      <c r="F25" s="478"/>
      <c r="G25" s="478"/>
      <c r="H25" s="479"/>
      <c r="I25" s="8"/>
      <c r="J25" s="223"/>
      <c r="K25" s="227"/>
      <c r="L25" s="9" t="str">
        <f>IF(J25&gt;0,LOOKUP(K25,'Stat Bonuses'!$F$2:$F$101,'Stat Bonuses'!$G$2:$G$101),"")</f>
        <v/>
      </c>
      <c r="M25" s="149" t="str">
        <f>IF(J25&gt;0,LOOKUP(J25,Skills!$A$2:$A$467,Skills!$B$2:$B$467),"")</f>
        <v/>
      </c>
      <c r="N25" s="9" t="str">
        <f t="shared" si="0"/>
        <v/>
      </c>
      <c r="O25" s="237" t="str">
        <f>IF(J25&gt;0,CharSheetFront!$T$22&amp;L25&amp;"+"&amp;CharSheetBack!N25,"")</f>
        <v/>
      </c>
    </row>
    <row r="26" spans="1:15">
      <c r="A26" s="220"/>
      <c r="B26" s="245"/>
      <c r="C26" s="477"/>
      <c r="D26" s="478"/>
      <c r="E26" s="478"/>
      <c r="F26" s="478"/>
      <c r="G26" s="478"/>
      <c r="H26" s="479"/>
      <c r="I26" s="2"/>
      <c r="J26" s="223"/>
      <c r="K26" s="227"/>
      <c r="L26" s="9" t="str">
        <f>IF(J26&gt;0,LOOKUP(K26,'Stat Bonuses'!$F$2:$F$101,'Stat Bonuses'!$G$2:$G$101),"")</f>
        <v/>
      </c>
      <c r="M26" s="149" t="str">
        <f>IF(J26&gt;0,LOOKUP(J26,Skills!$A$2:$A$467,Skills!$B$2:$B$467),"")</f>
        <v/>
      </c>
      <c r="N26" s="9" t="str">
        <f t="shared" si="0"/>
        <v/>
      </c>
      <c r="O26" s="237" t="str">
        <f>IF(J26&gt;0,CharSheetFront!$T$22&amp;L26&amp;"+"&amp;CharSheetBack!N26,"")</f>
        <v/>
      </c>
    </row>
    <row r="27" spans="1:15">
      <c r="A27" s="218"/>
      <c r="B27" s="245"/>
      <c r="C27" s="477"/>
      <c r="D27" s="478"/>
      <c r="E27" s="478"/>
      <c r="F27" s="478"/>
      <c r="G27" s="478"/>
      <c r="H27" s="479"/>
      <c r="I27" s="15"/>
      <c r="J27" s="223"/>
      <c r="K27" s="227"/>
      <c r="L27" s="9" t="str">
        <f>IF(J27&gt;0,LOOKUP(K27,'Stat Bonuses'!$F$2:$F$101,'Stat Bonuses'!$G$2:$G$101),"")</f>
        <v/>
      </c>
      <c r="M27" s="149" t="str">
        <f>IF(J27&gt;0,LOOKUP(J27,Skills!$A$2:$A$467,Skills!$B$2:$B$467),"")</f>
        <v/>
      </c>
      <c r="N27" s="9" t="str">
        <f t="shared" si="0"/>
        <v/>
      </c>
      <c r="O27" s="237" t="str">
        <f>IF(J27&gt;0,CharSheetFront!$T$22&amp;L27&amp;"+"&amp;CharSheetBack!N27,"")</f>
        <v/>
      </c>
    </row>
    <row r="28" spans="1:15">
      <c r="A28" s="220"/>
      <c r="B28" s="245"/>
      <c r="C28" s="477"/>
      <c r="D28" s="478"/>
      <c r="E28" s="478"/>
      <c r="F28" s="478"/>
      <c r="G28" s="478"/>
      <c r="H28" s="479"/>
      <c r="I28" s="8"/>
      <c r="J28" s="223"/>
      <c r="K28" s="227"/>
      <c r="L28" s="9" t="str">
        <f>IF(J28&gt;0,LOOKUP(K28,'Stat Bonuses'!$F$2:$F$101,'Stat Bonuses'!$G$2:$G$101),"")</f>
        <v/>
      </c>
      <c r="M28" s="149" t="str">
        <f>IF(J28&gt;0,LOOKUP(J28,Skills!$A$2:$A$467,Skills!$B$2:$B$467),"")</f>
        <v/>
      </c>
      <c r="N28" s="9" t="str">
        <f t="shared" si="0"/>
        <v/>
      </c>
      <c r="O28" s="237" t="str">
        <f>IF(J28&gt;0,CharSheetFront!$T$22&amp;L28&amp;"+"&amp;CharSheetBack!N28,"")</f>
        <v/>
      </c>
    </row>
    <row r="29" spans="1:15" ht="14" thickBot="1">
      <c r="A29" s="221"/>
      <c r="B29" s="245"/>
      <c r="C29" s="477"/>
      <c r="D29" s="478"/>
      <c r="E29" s="478"/>
      <c r="F29" s="478"/>
      <c r="G29" s="478"/>
      <c r="H29" s="479"/>
      <c r="I29" s="8"/>
      <c r="J29" s="223"/>
      <c r="K29" s="227"/>
      <c r="L29" s="9" t="str">
        <f>IF(J29&gt;0,LOOKUP(K29,'Stat Bonuses'!$F$2:$F$101,'Stat Bonuses'!$G$2:$G$101),"")</f>
        <v/>
      </c>
      <c r="M29" s="149" t="str">
        <f>IF(J29&gt;0,LOOKUP(J29,Skills!$A$2:$A$467,Skills!$B$2:$B$467),"")</f>
        <v/>
      </c>
      <c r="N29" s="9" t="str">
        <f t="shared" si="0"/>
        <v/>
      </c>
      <c r="O29" s="237" t="str">
        <f>IF(J29&gt;0,CharSheetFront!$T$22&amp;L29&amp;"+"&amp;CharSheetBack!N29,"")</f>
        <v/>
      </c>
    </row>
    <row r="30" spans="1:15" ht="14" thickBot="1">
      <c r="A30" s="136" t="s">
        <v>1473</v>
      </c>
      <c r="B30" s="81"/>
      <c r="C30" s="477"/>
      <c r="D30" s="478"/>
      <c r="E30" s="478"/>
      <c r="F30" s="478"/>
      <c r="G30" s="478"/>
      <c r="H30" s="479"/>
      <c r="I30" s="2"/>
      <c r="J30" s="225"/>
      <c r="K30" s="228"/>
      <c r="L30" s="28" t="str">
        <f>IF(J30&gt;0,LOOKUP(K30,'Stat Bonuses'!$F$2:$F$101,'Stat Bonuses'!$G$2:$G$101),"")</f>
        <v/>
      </c>
      <c r="M30" s="150" t="str">
        <f>IF(J30&gt;0,LOOKUP(J30,Skills!$A$2:$A$467,Skills!$B$2:$B$467),"")</f>
        <v/>
      </c>
      <c r="N30" s="23" t="str">
        <f>IF(J30&gt;0,LOOKUP(M2,$Q$2:$Q$15,$R$2:$R$15),"")</f>
        <v/>
      </c>
      <c r="O30" s="238" t="str">
        <f>IF(J30&gt;0,CharSheetFront!$T$22&amp;L30&amp;"+"&amp;CharSheetBack!N30,"")</f>
        <v/>
      </c>
    </row>
    <row r="31" spans="1:15" ht="14" thickBot="1">
      <c r="A31" s="218"/>
      <c r="B31" s="245"/>
      <c r="C31" s="477"/>
      <c r="D31" s="478"/>
      <c r="E31" s="478"/>
      <c r="F31" s="478"/>
      <c r="G31" s="478"/>
      <c r="H31" s="479"/>
      <c r="I31" s="15"/>
      <c r="J31" s="10"/>
      <c r="K31" s="151"/>
      <c r="L31" s="8"/>
      <c r="M31" s="139"/>
      <c r="N31" s="8"/>
      <c r="O31" s="8"/>
    </row>
    <row r="32" spans="1:15">
      <c r="A32" s="219"/>
      <c r="B32" s="245"/>
      <c r="C32" s="477"/>
      <c r="D32" s="478"/>
      <c r="E32" s="478"/>
      <c r="F32" s="478"/>
      <c r="G32" s="478"/>
      <c r="H32" s="479"/>
      <c r="I32" s="8"/>
      <c r="J32" s="209" t="s">
        <v>1627</v>
      </c>
      <c r="K32" s="35"/>
      <c r="L32" s="34"/>
      <c r="M32" s="34"/>
      <c r="N32" s="35"/>
      <c r="O32" s="82"/>
    </row>
    <row r="33" spans="1:15">
      <c r="A33" s="218"/>
      <c r="B33" s="245"/>
      <c r="C33" s="477"/>
      <c r="D33" s="478"/>
      <c r="E33" s="478"/>
      <c r="F33" s="478"/>
      <c r="G33" s="478"/>
      <c r="H33" s="479"/>
      <c r="I33" s="11"/>
      <c r="J33" s="44"/>
      <c r="K33" s="85"/>
      <c r="L33" s="3"/>
      <c r="M33" s="3"/>
      <c r="N33" s="85"/>
      <c r="O33" s="86"/>
    </row>
    <row r="34" spans="1:15">
      <c r="A34" s="220"/>
      <c r="B34" s="245"/>
      <c r="C34" s="477"/>
      <c r="D34" s="478"/>
      <c r="E34" s="478"/>
      <c r="F34" s="478"/>
      <c r="G34" s="478"/>
      <c r="H34" s="479"/>
      <c r="I34" s="11"/>
      <c r="J34" s="20"/>
      <c r="K34" s="2"/>
      <c r="L34" s="79"/>
      <c r="M34" s="46"/>
      <c r="N34" s="80"/>
      <c r="O34" s="21"/>
    </row>
    <row r="35" spans="1:15">
      <c r="A35" s="218"/>
      <c r="B35" s="245"/>
      <c r="C35" s="477"/>
      <c r="D35" s="478"/>
      <c r="E35" s="478"/>
      <c r="F35" s="478"/>
      <c r="G35" s="478"/>
      <c r="H35" s="479"/>
      <c r="I35" s="11"/>
      <c r="J35" s="44"/>
      <c r="K35" s="85"/>
      <c r="L35" s="3"/>
      <c r="M35" s="3"/>
      <c r="N35" s="85"/>
      <c r="O35" s="86"/>
    </row>
    <row r="36" spans="1:15">
      <c r="A36" s="220"/>
      <c r="B36" s="245"/>
      <c r="C36" s="477"/>
      <c r="D36" s="478"/>
      <c r="E36" s="478"/>
      <c r="F36" s="478"/>
      <c r="G36" s="478"/>
      <c r="H36" s="479"/>
      <c r="I36" s="11"/>
      <c r="J36" s="20"/>
      <c r="K36" s="2"/>
      <c r="L36" s="79"/>
      <c r="M36" s="46"/>
      <c r="N36" s="80"/>
      <c r="O36" s="21"/>
    </row>
    <row r="37" spans="1:15">
      <c r="A37" s="218"/>
      <c r="B37" s="245"/>
      <c r="C37" s="477"/>
      <c r="D37" s="478"/>
      <c r="E37" s="478"/>
      <c r="F37" s="478"/>
      <c r="G37" s="478"/>
      <c r="H37" s="479"/>
      <c r="I37" s="11"/>
      <c r="J37" s="44"/>
      <c r="K37" s="85"/>
      <c r="L37" s="3"/>
      <c r="M37" s="3"/>
      <c r="N37" s="85"/>
      <c r="O37" s="86"/>
    </row>
    <row r="38" spans="1:15">
      <c r="A38" s="220"/>
      <c r="B38" s="245"/>
      <c r="C38" s="477"/>
      <c r="D38" s="478"/>
      <c r="E38" s="478"/>
      <c r="F38" s="478"/>
      <c r="G38" s="478"/>
      <c r="H38" s="479"/>
      <c r="I38" s="2"/>
      <c r="J38" s="20"/>
      <c r="K38" s="2"/>
      <c r="L38" s="79"/>
      <c r="M38" s="46"/>
      <c r="N38" s="80"/>
      <c r="O38" s="21"/>
    </row>
    <row r="39" spans="1:15">
      <c r="A39" s="218"/>
      <c r="B39" s="245"/>
      <c r="C39" s="477"/>
      <c r="D39" s="478"/>
      <c r="E39" s="478"/>
      <c r="F39" s="478"/>
      <c r="G39" s="478"/>
      <c r="H39" s="479"/>
      <c r="I39" s="13"/>
      <c r="J39" s="44"/>
      <c r="K39" s="85"/>
      <c r="L39" s="3"/>
      <c r="M39" s="3"/>
      <c r="N39" s="85"/>
      <c r="O39" s="86"/>
    </row>
    <row r="40" spans="1:15">
      <c r="A40" s="220"/>
      <c r="B40" s="245"/>
      <c r="C40" s="477"/>
      <c r="D40" s="478"/>
      <c r="E40" s="478"/>
      <c r="F40" s="478"/>
      <c r="G40" s="478"/>
      <c r="H40" s="479"/>
      <c r="I40" s="57"/>
      <c r="J40" s="20"/>
      <c r="K40" s="2"/>
      <c r="L40" s="79"/>
      <c r="M40" s="46"/>
      <c r="N40" s="80"/>
      <c r="O40" s="21"/>
    </row>
    <row r="41" spans="1:15" ht="14" thickBot="1">
      <c r="A41" s="221"/>
      <c r="B41" s="245"/>
      <c r="C41" s="477"/>
      <c r="D41" s="478"/>
      <c r="E41" s="478"/>
      <c r="F41" s="478"/>
      <c r="G41" s="478"/>
      <c r="H41" s="479"/>
      <c r="I41" s="57"/>
      <c r="J41" s="44"/>
      <c r="K41" s="85"/>
      <c r="L41" s="3"/>
      <c r="M41" s="3"/>
      <c r="N41" s="85"/>
      <c r="O41" s="86"/>
    </row>
    <row r="42" spans="1:15">
      <c r="A42" s="137" t="s">
        <v>1670</v>
      </c>
      <c r="B42" s="10"/>
      <c r="C42" s="477"/>
      <c r="D42" s="478"/>
      <c r="E42" s="478"/>
      <c r="F42" s="478"/>
      <c r="G42" s="478"/>
      <c r="H42" s="479"/>
      <c r="I42" s="16"/>
      <c r="J42" s="20"/>
      <c r="K42" s="2"/>
      <c r="L42" s="79"/>
      <c r="M42" s="46"/>
      <c r="N42" s="80"/>
      <c r="O42" s="21"/>
    </row>
    <row r="43" spans="1:15">
      <c r="A43" s="134"/>
      <c r="B43" s="129"/>
      <c r="C43" s="477"/>
      <c r="D43" s="478"/>
      <c r="E43" s="478"/>
      <c r="F43" s="478"/>
      <c r="G43" s="478"/>
      <c r="H43" s="479"/>
      <c r="I43" s="16"/>
      <c r="J43" s="44"/>
      <c r="K43" s="85"/>
      <c r="L43" s="3"/>
      <c r="M43" s="3"/>
      <c r="N43" s="85"/>
      <c r="O43" s="86"/>
    </row>
    <row r="44" spans="1:15">
      <c r="A44" s="133"/>
      <c r="B44" s="10"/>
      <c r="C44" s="477"/>
      <c r="D44" s="478"/>
      <c r="E44" s="478"/>
      <c r="F44" s="478"/>
      <c r="G44" s="478"/>
      <c r="H44" s="479"/>
      <c r="I44" s="70"/>
      <c r="J44" s="20"/>
      <c r="K44" s="2"/>
      <c r="L44" s="79"/>
      <c r="M44" s="46"/>
      <c r="N44" s="80"/>
      <c r="O44" s="21"/>
    </row>
    <row r="45" spans="1:15">
      <c r="A45" s="132"/>
      <c r="B45" s="129"/>
      <c r="C45" s="477"/>
      <c r="D45" s="478"/>
      <c r="E45" s="478"/>
      <c r="F45" s="478"/>
      <c r="G45" s="478"/>
      <c r="H45" s="479"/>
      <c r="I45" s="16"/>
      <c r="J45" s="44"/>
      <c r="K45" s="85"/>
      <c r="L45" s="3"/>
      <c r="M45" s="3"/>
      <c r="N45" s="85"/>
      <c r="O45" s="86"/>
    </row>
    <row r="46" spans="1:15" ht="14" thickBot="1">
      <c r="A46" s="135"/>
      <c r="B46" s="130"/>
      <c r="C46" s="477"/>
      <c r="D46" s="478"/>
      <c r="E46" s="478"/>
      <c r="F46" s="478"/>
      <c r="G46" s="478"/>
      <c r="H46" s="479"/>
      <c r="I46" s="57"/>
      <c r="J46" s="20"/>
      <c r="K46" s="2"/>
      <c r="L46" s="2"/>
      <c r="M46" s="46"/>
      <c r="N46" s="80"/>
      <c r="O46" s="21"/>
    </row>
    <row r="47" spans="1:15">
      <c r="A47" s="137" t="s">
        <v>1671</v>
      </c>
      <c r="B47" s="129"/>
      <c r="C47" s="477"/>
      <c r="D47" s="478"/>
      <c r="E47" s="478"/>
      <c r="F47" s="478"/>
      <c r="G47" s="478"/>
      <c r="H47" s="479"/>
      <c r="I47" s="57"/>
      <c r="J47" s="44"/>
      <c r="K47" s="85"/>
      <c r="L47" s="3"/>
      <c r="M47" s="3"/>
      <c r="N47" s="85"/>
      <c r="O47" s="86"/>
    </row>
    <row r="48" spans="1:15">
      <c r="A48" s="134"/>
      <c r="B48" s="130"/>
      <c r="C48" s="477"/>
      <c r="D48" s="478"/>
      <c r="E48" s="478"/>
      <c r="F48" s="478"/>
      <c r="G48" s="478"/>
      <c r="H48" s="479"/>
      <c r="I48" s="16"/>
      <c r="J48" s="20"/>
      <c r="K48" s="2"/>
      <c r="L48" s="2"/>
      <c r="M48" s="46"/>
      <c r="N48" s="80"/>
      <c r="O48" s="21"/>
    </row>
    <row r="49" spans="1:15">
      <c r="A49" s="132"/>
      <c r="B49" s="129"/>
      <c r="C49" s="477"/>
      <c r="D49" s="478"/>
      <c r="E49" s="478"/>
      <c r="F49" s="478"/>
      <c r="G49" s="478"/>
      <c r="H49" s="479"/>
      <c r="I49" s="16"/>
      <c r="J49" s="44"/>
      <c r="K49" s="85"/>
      <c r="L49" s="3"/>
      <c r="M49" s="3"/>
      <c r="N49" s="85"/>
      <c r="O49" s="86"/>
    </row>
    <row r="50" spans="1:15">
      <c r="A50" s="134"/>
      <c r="B50" s="130"/>
      <c r="C50" s="477"/>
      <c r="D50" s="478"/>
      <c r="E50" s="478"/>
      <c r="F50" s="478"/>
      <c r="G50" s="478"/>
      <c r="H50" s="479"/>
      <c r="I50" s="16"/>
      <c r="J50" s="20"/>
      <c r="K50" s="49"/>
      <c r="L50" s="2"/>
      <c r="M50" s="2"/>
      <c r="N50" s="49"/>
      <c r="O50" s="50"/>
    </row>
    <row r="51" spans="1:15" ht="14" thickBot="1">
      <c r="A51" s="135"/>
      <c r="B51" s="24"/>
      <c r="C51" s="483"/>
      <c r="D51" s="484"/>
      <c r="E51" s="484"/>
      <c r="F51" s="484"/>
      <c r="G51" s="484"/>
      <c r="H51" s="485"/>
      <c r="I51" s="24"/>
      <c r="J51" s="22"/>
      <c r="K51" s="145"/>
      <c r="L51" s="24"/>
      <c r="M51" s="24"/>
      <c r="N51" s="145"/>
      <c r="O51" s="74"/>
    </row>
  </sheetData>
  <mergeCells count="3">
    <mergeCell ref="C14:H16"/>
    <mergeCell ref="C17:H19"/>
    <mergeCell ref="C22:H51"/>
  </mergeCells>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E51"/>
  <sheetViews>
    <sheetView workbookViewId="0">
      <selection activeCell="N1" sqref="N1"/>
    </sheetView>
  </sheetViews>
  <sheetFormatPr baseColWidth="10" defaultRowHeight="13"/>
  <cols>
    <col min="1" max="1" width="19" customWidth="1"/>
    <col min="2" max="2" width="1.83203125" customWidth="1"/>
    <col min="8" max="8" width="12.83203125" customWidth="1"/>
    <col min="9" max="9" width="1.83203125" customWidth="1"/>
    <col min="10" max="10" width="16.83203125" customWidth="1"/>
    <col min="11" max="11" width="4.83203125" customWidth="1"/>
    <col min="12" max="12" width="7.5" customWidth="1"/>
    <col min="13" max="13" width="14" style="103" customWidth="1"/>
    <col min="14" max="14" width="7.1640625" customWidth="1"/>
    <col min="15" max="15" width="14.33203125" customWidth="1"/>
  </cols>
  <sheetData>
    <row r="1" spans="1:31">
      <c r="A1" s="370" t="s">
        <v>2033</v>
      </c>
      <c r="B1" s="371"/>
      <c r="C1" s="372" t="s">
        <v>1908</v>
      </c>
      <c r="D1" s="371"/>
      <c r="E1" s="373">
        <f>CharSheetFront!E15+CharSheetFront!E2</f>
        <v>19</v>
      </c>
      <c r="F1" s="371" t="s">
        <v>1631</v>
      </c>
      <c r="G1" s="374"/>
      <c r="H1" s="375">
        <f>CharSheetFront!E7</f>
        <v>15</v>
      </c>
      <c r="I1" s="376"/>
      <c r="J1" s="372" t="s">
        <v>1002</v>
      </c>
      <c r="K1" s="377"/>
      <c r="L1" s="377" t="s">
        <v>1702</v>
      </c>
      <c r="M1" s="377" t="s">
        <v>1799</v>
      </c>
      <c r="N1" s="377" t="s">
        <v>1760</v>
      </c>
      <c r="O1" s="378" t="s">
        <v>1595</v>
      </c>
      <c r="P1" s="111"/>
      <c r="Q1" s="111" t="s">
        <v>823</v>
      </c>
      <c r="R1" s="111" t="s">
        <v>1944</v>
      </c>
      <c r="S1" s="167" t="s">
        <v>37</v>
      </c>
      <c r="T1" s="110"/>
      <c r="U1" s="110"/>
      <c r="V1" s="110"/>
      <c r="W1" s="110"/>
      <c r="X1" s="110"/>
      <c r="Y1" s="110"/>
      <c r="Z1" s="110"/>
      <c r="AA1" s="110"/>
      <c r="AB1" s="110"/>
      <c r="AC1" s="110"/>
      <c r="AD1" s="110"/>
      <c r="AE1" s="110"/>
    </row>
    <row r="2" spans="1:31">
      <c r="A2" s="379"/>
      <c r="B2" s="380"/>
      <c r="C2" s="381" t="s">
        <v>2001</v>
      </c>
      <c r="D2" s="116"/>
      <c r="E2" s="382">
        <f>(CharSheetFront!E16+CharSheetFront!E14+CharSheetFront!E2)</f>
        <v>30</v>
      </c>
      <c r="F2" s="380" t="s">
        <v>1257</v>
      </c>
      <c r="G2" s="116"/>
      <c r="H2" s="383"/>
      <c r="I2" s="384"/>
      <c r="J2" s="385" t="s">
        <v>1398</v>
      </c>
      <c r="K2" s="343"/>
      <c r="L2" s="343">
        <v>6</v>
      </c>
      <c r="M2" s="343" t="str">
        <f>IF(J2&gt;0,LOOKUP(J2,Skills!$A$2:$A$473,Skills!$B$2:$B$473),"")</f>
        <v>Intelligence</v>
      </c>
      <c r="N2" s="386">
        <f>IF(J2&gt;0,LOOKUP(M2,$Q$2:$Q$15,$R$2:$R$15),"")</f>
        <v>3</v>
      </c>
      <c r="O2" s="387" t="str">
        <f>IF(J2=0,"",CharSheetFront!$T$22&amp;CharSheetBack!S2)</f>
        <v>D20+9</v>
      </c>
      <c r="Q2" t="s">
        <v>1922</v>
      </c>
      <c r="R2" s="114">
        <f>CharSheetFront!S24</f>
        <v>4</v>
      </c>
      <c r="S2">
        <f>L2+N2</f>
        <v>9</v>
      </c>
    </row>
    <row r="3" spans="1:31">
      <c r="A3" s="388"/>
      <c r="B3" s="285"/>
      <c r="C3" s="389"/>
      <c r="D3" s="390"/>
      <c r="E3" s="391"/>
      <c r="F3" s="380"/>
      <c r="G3" s="116"/>
      <c r="H3" s="383"/>
      <c r="I3" s="384"/>
      <c r="J3" s="385" t="s">
        <v>646</v>
      </c>
      <c r="K3" s="343"/>
      <c r="L3" s="343">
        <v>6</v>
      </c>
      <c r="M3" s="343" t="str">
        <f>IF(J3&gt;0,LOOKUP(J3,Skills!$A$2:$A$473,Skills!$B$2:$B$473),"")</f>
        <v>Intelligence</v>
      </c>
      <c r="N3" s="386">
        <f>IF(J3&gt;0,LOOKUP(M2,$Q$2:$Q$15,$R$2:$R$15),"")</f>
        <v>3</v>
      </c>
      <c r="O3" s="387" t="str">
        <f>IF(J3=0,"",CharSheetFront!$T$22&amp;CharSheetBack!S3)</f>
        <v>D20+9</v>
      </c>
      <c r="Q3" t="s">
        <v>1430</v>
      </c>
      <c r="R3" s="114">
        <f>CharSheetFront!S25</f>
        <v>2</v>
      </c>
      <c r="S3">
        <f t="shared" ref="S3:S30" si="0">L3+N3</f>
        <v>9</v>
      </c>
    </row>
    <row r="4" spans="1:31">
      <c r="A4" s="379"/>
      <c r="B4" s="116"/>
      <c r="C4" s="392" t="s">
        <v>1163</v>
      </c>
      <c r="D4" s="393"/>
      <c r="E4" s="394">
        <f>E2</f>
        <v>30</v>
      </c>
      <c r="F4" s="395" t="s">
        <v>1334</v>
      </c>
      <c r="G4" s="396"/>
      <c r="H4" s="397">
        <f>(H1+H2+CharSheetFront!E2)</f>
        <v>18</v>
      </c>
      <c r="I4" s="116"/>
      <c r="J4" s="385" t="s">
        <v>1978</v>
      </c>
      <c r="K4" s="343"/>
      <c r="L4" s="343">
        <v>7</v>
      </c>
      <c r="M4" s="343" t="str">
        <f>IF(J4&gt;0,LOOKUP(J4,Skills!$A$2:$A$473,Skills!$B$2:$B$473),"")</f>
        <v>Presence</v>
      </c>
      <c r="N4" s="386">
        <f t="shared" ref="N4:N29" si="1">IF(J4&gt;0,LOOKUP(M3,$Q$2:$Q$15,$R$2:$R$15),"")</f>
        <v>3</v>
      </c>
      <c r="O4" s="387" t="str">
        <f>IF(J4=0,"",CharSheetFront!$T$22&amp;CharSheetBack!S4)</f>
        <v>D20+10</v>
      </c>
      <c r="Q4" t="s">
        <v>1180</v>
      </c>
      <c r="R4" s="114">
        <f>CharSheetFront!S26</f>
        <v>6</v>
      </c>
      <c r="S4">
        <f t="shared" si="0"/>
        <v>10</v>
      </c>
    </row>
    <row r="5" spans="1:31">
      <c r="A5" s="388"/>
      <c r="B5" s="285"/>
      <c r="C5" s="381"/>
      <c r="D5" s="398"/>
      <c r="E5" s="116"/>
      <c r="F5" s="399"/>
      <c r="G5" s="116"/>
      <c r="H5" s="400" t="s">
        <v>1296</v>
      </c>
      <c r="I5" s="398"/>
      <c r="J5" s="443" t="s">
        <v>923</v>
      </c>
      <c r="K5" s="343"/>
      <c r="L5" s="343">
        <v>4</v>
      </c>
      <c r="M5" s="343" t="str">
        <f>IF(J5&gt;0,LOOKUP(J5,Skills!$A$2:$A$473,Skills!$B$2:$B$473),"")</f>
        <v>Initiative</v>
      </c>
      <c r="N5" s="386">
        <f t="shared" si="1"/>
        <v>2</v>
      </c>
      <c r="O5" s="387" t="str">
        <f>IF(J5=0,"",CharSheetFront!$T$22&amp;CharSheetBack!S5)</f>
        <v>D20+6</v>
      </c>
      <c r="Q5" t="s">
        <v>1987</v>
      </c>
      <c r="R5" s="114">
        <f>CharSheetFront!S27</f>
        <v>4</v>
      </c>
      <c r="S5">
        <f t="shared" si="0"/>
        <v>6</v>
      </c>
    </row>
    <row r="6" spans="1:31">
      <c r="A6" s="401"/>
      <c r="B6" s="402"/>
      <c r="C6" s="403"/>
      <c r="D6" s="116"/>
      <c r="E6" s="116"/>
      <c r="F6" s="399"/>
      <c r="G6" s="116"/>
      <c r="H6" s="404" t="s">
        <v>1770</v>
      </c>
      <c r="I6" s="286"/>
      <c r="J6" s="385" t="s">
        <v>1256</v>
      </c>
      <c r="K6" s="405"/>
      <c r="L6" s="405">
        <v>4</v>
      </c>
      <c r="M6" s="343" t="str">
        <f>IF(J6&gt;0,LOOKUP(J6,Skills!$A$2:$A$473,Skills!$B$2:$B$473),"")</f>
        <v>Awareness</v>
      </c>
      <c r="N6" s="386">
        <f t="shared" si="1"/>
        <v>6</v>
      </c>
      <c r="O6" s="387" t="str">
        <f>IF(J6=0,"",CharSheetFront!$T$22&amp;CharSheetBack!S6)</f>
        <v>D20+10</v>
      </c>
      <c r="Q6" t="s">
        <v>418</v>
      </c>
      <c r="R6" s="114">
        <f>CharSheetFront!S28</f>
        <v>4</v>
      </c>
      <c r="S6">
        <f t="shared" si="0"/>
        <v>10</v>
      </c>
    </row>
    <row r="7" spans="1:31" ht="14" thickBot="1">
      <c r="A7" s="388"/>
      <c r="B7" s="285"/>
      <c r="C7" s="406"/>
      <c r="D7" s="407"/>
      <c r="E7" s="407"/>
      <c r="F7" s="363"/>
      <c r="G7" s="315"/>
      <c r="H7" s="408" t="s">
        <v>1724</v>
      </c>
      <c r="I7" s="286"/>
      <c r="J7" s="443" t="s">
        <v>1921</v>
      </c>
      <c r="K7" s="343"/>
      <c r="L7" s="343">
        <v>4</v>
      </c>
      <c r="M7" s="343" t="str">
        <f>IF(J7&gt;0,LOOKUP(J7,Skills!$A$2:$A$473,Skills!$B$2:$B$473),"")</f>
        <v>Intelligence</v>
      </c>
      <c r="N7" s="386">
        <f t="shared" si="1"/>
        <v>6</v>
      </c>
      <c r="O7" s="387" t="str">
        <f>IF(J7=0,"",CharSheetFront!$T$22&amp;CharSheetBack!S7)</f>
        <v>D20+10</v>
      </c>
      <c r="Q7" t="s">
        <v>1548</v>
      </c>
      <c r="R7" s="114">
        <f>CharSheetFront!S29</f>
        <v>6</v>
      </c>
      <c r="S7">
        <f t="shared" si="0"/>
        <v>10</v>
      </c>
    </row>
    <row r="8" spans="1:31" ht="14" thickBot="1">
      <c r="A8" s="401"/>
      <c r="B8" s="402"/>
      <c r="C8" s="409"/>
      <c r="D8" s="293"/>
      <c r="E8" s="95"/>
      <c r="F8" s="95"/>
      <c r="G8" s="95"/>
      <c r="H8" s="95"/>
      <c r="I8" s="286"/>
      <c r="J8" s="443" t="s">
        <v>55</v>
      </c>
      <c r="K8" s="343"/>
      <c r="L8" s="343">
        <v>4</v>
      </c>
      <c r="M8" s="343" t="str">
        <f>IF(J8&gt;0,LOOKUP(J8,Skills!$A$2:$A$473,Skills!$B$2:$B$473),"")</f>
        <v>Agility</v>
      </c>
      <c r="N8" s="386">
        <f t="shared" si="1"/>
        <v>3</v>
      </c>
      <c r="O8" s="387" t="str">
        <f>IF(J8=0,"",CharSheetFront!$T$22&amp;CharSheetBack!S8)</f>
        <v>D20+7</v>
      </c>
      <c r="Q8" t="s">
        <v>1833</v>
      </c>
      <c r="R8" s="114">
        <f>CharSheetFront!S30</f>
        <v>3</v>
      </c>
      <c r="S8">
        <f t="shared" si="0"/>
        <v>7</v>
      </c>
    </row>
    <row r="9" spans="1:31">
      <c r="A9" s="388"/>
      <c r="B9" s="285"/>
      <c r="C9" s="410" t="s">
        <v>1672</v>
      </c>
      <c r="D9" s="411"/>
      <c r="E9" s="412"/>
      <c r="F9" s="412"/>
      <c r="G9" s="412"/>
      <c r="H9" s="413"/>
      <c r="I9" s="286"/>
      <c r="J9" s="385" t="s">
        <v>2002</v>
      </c>
      <c r="K9" s="405"/>
      <c r="L9" s="343">
        <v>5</v>
      </c>
      <c r="M9" s="343" t="str">
        <f>IF(J9&gt;0,LOOKUP(J9,Skills!$A$2:$A$473,Skills!$B$2:$B$473),"")</f>
        <v>Awareness</v>
      </c>
      <c r="N9" s="386">
        <f t="shared" si="1"/>
        <v>4</v>
      </c>
      <c r="O9" s="387" t="str">
        <f>IF(J9=0,"",CharSheetFront!$T$22&amp;CharSheetBack!S9)</f>
        <v>D20+9</v>
      </c>
      <c r="Q9" t="s">
        <v>1259</v>
      </c>
      <c r="R9" s="114">
        <f>CharSheetFront!S31</f>
        <v>3</v>
      </c>
      <c r="S9">
        <f t="shared" si="0"/>
        <v>9</v>
      </c>
    </row>
    <row r="10" spans="1:31">
      <c r="A10" s="401"/>
      <c r="B10" s="402"/>
      <c r="C10" s="414" t="s">
        <v>1665</v>
      </c>
      <c r="D10" s="333"/>
      <c r="E10" s="409" t="s">
        <v>1260</v>
      </c>
      <c r="F10" s="333"/>
      <c r="G10" s="284" t="s">
        <v>1530</v>
      </c>
      <c r="H10" s="361"/>
      <c r="I10" s="286"/>
      <c r="J10" s="385" t="s">
        <v>2003</v>
      </c>
      <c r="K10" s="405"/>
      <c r="L10" s="405">
        <v>7</v>
      </c>
      <c r="M10" s="343" t="str">
        <f>IF(J10&gt;0,LOOKUP(J10,Skills!$A$2:$A$473,Skills!$B$2:$B$473),"")</f>
        <v>Agility</v>
      </c>
      <c r="N10" s="386">
        <f t="shared" si="1"/>
        <v>6</v>
      </c>
      <c r="O10" s="387" t="str">
        <f>IF(J10=0,"",CharSheetFront!$T$22&amp;CharSheetBack!S10)</f>
        <v>D20+13</v>
      </c>
      <c r="Q10" t="s">
        <v>1632</v>
      </c>
      <c r="R10" s="114">
        <f>CharSheetFront!S32</f>
        <v>2</v>
      </c>
      <c r="S10">
        <f t="shared" si="0"/>
        <v>13</v>
      </c>
    </row>
    <row r="11" spans="1:31">
      <c r="A11" s="388"/>
      <c r="B11" s="285"/>
      <c r="C11" s="414" t="s">
        <v>576</v>
      </c>
      <c r="D11" s="333"/>
      <c r="E11" s="409" t="s">
        <v>1624</v>
      </c>
      <c r="F11" s="333"/>
      <c r="G11" s="409" t="s">
        <v>1915</v>
      </c>
      <c r="H11" s="361"/>
      <c r="I11" s="286"/>
      <c r="J11" s="385" t="s">
        <v>2004</v>
      </c>
      <c r="K11" s="405"/>
      <c r="L11" s="405">
        <v>7</v>
      </c>
      <c r="M11" s="343" t="str">
        <f>IF(J11&gt;0,LOOKUP(J11,Skills!$A$2:$A$473,Skills!$B$2:$B$473),"")</f>
        <v>Awareness</v>
      </c>
      <c r="N11" s="386">
        <f t="shared" si="1"/>
        <v>4</v>
      </c>
      <c r="O11" s="387" t="str">
        <f>IF(J11=0,"",CharSheetFront!$T$22&amp;CharSheetBack!S11)</f>
        <v>D20+11</v>
      </c>
      <c r="Q11" t="s">
        <v>1441</v>
      </c>
      <c r="R11" s="114">
        <f>CharSheetFront!S33</f>
        <v>0</v>
      </c>
      <c r="S11">
        <f t="shared" si="0"/>
        <v>11</v>
      </c>
    </row>
    <row r="12" spans="1:31">
      <c r="A12" s="415"/>
      <c r="B12" s="285"/>
      <c r="C12" s="414" t="s">
        <v>577</v>
      </c>
      <c r="D12" s="333"/>
      <c r="E12" s="409" t="s">
        <v>1684</v>
      </c>
      <c r="F12" s="333"/>
      <c r="G12" s="409" t="s">
        <v>1533</v>
      </c>
      <c r="H12" s="361"/>
      <c r="I12" s="286"/>
      <c r="J12" s="443" t="s">
        <v>2005</v>
      </c>
      <c r="K12" s="405"/>
      <c r="L12" s="405">
        <v>5</v>
      </c>
      <c r="M12" s="343" t="str">
        <f>IF(J12&gt;0,LOOKUP(J12,Skills!$A$2:$A$473,Skills!$B$2:$B$473),"")</f>
        <v>Presence</v>
      </c>
      <c r="N12" s="386">
        <f t="shared" si="1"/>
        <v>6</v>
      </c>
      <c r="O12" s="387" t="str">
        <f>IF(J12=0,"",CharSheetFront!$T$22&amp;CharSheetBack!S12)</f>
        <v>D20+11</v>
      </c>
      <c r="Q12" t="s">
        <v>1631</v>
      </c>
      <c r="R12" s="114">
        <f>CharSheetFront!S34</f>
        <v>2</v>
      </c>
      <c r="S12">
        <f t="shared" si="0"/>
        <v>11</v>
      </c>
    </row>
    <row r="13" spans="1:31">
      <c r="A13" s="388"/>
      <c r="B13" s="285"/>
      <c r="C13" s="403"/>
      <c r="D13" s="409"/>
      <c r="E13" s="409"/>
      <c r="F13" s="409"/>
      <c r="G13" s="409"/>
      <c r="H13" s="416"/>
      <c r="I13" s="286"/>
      <c r="J13" s="385" t="s">
        <v>2006</v>
      </c>
      <c r="K13" s="343"/>
      <c r="L13" s="343">
        <v>8</v>
      </c>
      <c r="M13" s="343" t="str">
        <f>IF(J13&gt;0,LOOKUP(J13,Skills!$A$2:$A$473,Skills!$B$2:$B$473),"")</f>
        <v>Presence</v>
      </c>
      <c r="N13" s="386">
        <f t="shared" si="1"/>
        <v>2</v>
      </c>
      <c r="O13" s="387" t="str">
        <f>IF(J13=0,"",CharSheetFront!$T$22&amp;CharSheetBack!S13)</f>
        <v>D20+10</v>
      </c>
      <c r="Q13" t="s">
        <v>476</v>
      </c>
      <c r="R13" s="114">
        <f>CharSheetFront!S35</f>
        <v>2</v>
      </c>
      <c r="S13">
        <f t="shared" si="0"/>
        <v>10</v>
      </c>
    </row>
    <row r="14" spans="1:31">
      <c r="A14" s="401"/>
      <c r="B14" s="402"/>
      <c r="C14" s="458" t="s">
        <v>1344</v>
      </c>
      <c r="D14" s="459"/>
      <c r="E14" s="459"/>
      <c r="F14" s="459"/>
      <c r="G14" s="459"/>
      <c r="H14" s="460"/>
      <c r="I14" s="286"/>
      <c r="J14" s="443" t="s">
        <v>2007</v>
      </c>
      <c r="K14" s="405"/>
      <c r="L14" s="405">
        <v>5</v>
      </c>
      <c r="M14" s="343" t="str">
        <f>IF(J14&gt;0,LOOKUP(J14,Skills!$A$2:$A$473,Skills!$B$2:$B$473),"")</f>
        <v>Dexterity</v>
      </c>
      <c r="N14" s="386">
        <f t="shared" si="1"/>
        <v>2</v>
      </c>
      <c r="O14" s="387" t="str">
        <f>IF(J14=0,"",CharSheetFront!$T$22&amp;CharSheetBack!S14)</f>
        <v>D20+7</v>
      </c>
      <c r="Q14" t="s">
        <v>1988</v>
      </c>
      <c r="R14" s="114">
        <f>CharSheetFront!S36</f>
        <v>4</v>
      </c>
      <c r="S14">
        <f t="shared" si="0"/>
        <v>7</v>
      </c>
    </row>
    <row r="15" spans="1:31">
      <c r="A15" s="388"/>
      <c r="B15" s="285"/>
      <c r="C15" s="461"/>
      <c r="D15" s="462"/>
      <c r="E15" s="462"/>
      <c r="F15" s="462"/>
      <c r="G15" s="462"/>
      <c r="H15" s="463"/>
      <c r="I15" s="286"/>
      <c r="J15" s="385" t="s">
        <v>2008</v>
      </c>
      <c r="K15" s="343"/>
      <c r="L15" s="343">
        <v>5</v>
      </c>
      <c r="M15" s="343" t="str">
        <f>IF(J15&gt;0,LOOKUP(J15,Skills!$A$2:$A$473,Skills!$B$2:$B$473),"")</f>
        <v>Intelligence</v>
      </c>
      <c r="N15" s="386">
        <f t="shared" si="1"/>
        <v>4</v>
      </c>
      <c r="O15" s="387" t="str">
        <f>IF(J15=0,"",CharSheetFront!$T$22&amp;CharSheetBack!S15)</f>
        <v>D20+9</v>
      </c>
      <c r="Q15" t="s">
        <v>1062</v>
      </c>
      <c r="R15" s="114">
        <f>CharSheetFront!S37</f>
        <v>6</v>
      </c>
      <c r="S15">
        <f t="shared" si="0"/>
        <v>9</v>
      </c>
    </row>
    <row r="16" spans="1:31">
      <c r="A16" s="401"/>
      <c r="B16" s="402"/>
      <c r="C16" s="464"/>
      <c r="D16" s="465"/>
      <c r="E16" s="465"/>
      <c r="F16" s="465"/>
      <c r="G16" s="465"/>
      <c r="H16" s="466"/>
      <c r="I16" s="286"/>
      <c r="J16" s="385" t="s">
        <v>2009</v>
      </c>
      <c r="K16" s="343"/>
      <c r="L16" s="343">
        <v>7</v>
      </c>
      <c r="M16" s="343" t="str">
        <f>IF(J16&gt;0,LOOKUP(J16,Skills!$A$2:$A$473,Skills!$B$2:$B$473),"")</f>
        <v>Intelligence</v>
      </c>
      <c r="N16" s="386">
        <f t="shared" si="1"/>
        <v>3</v>
      </c>
      <c r="O16" s="387" t="str">
        <f>IF(J16=0,"",CharSheetFront!$T$22&amp;CharSheetBack!S16)</f>
        <v>D20+10</v>
      </c>
      <c r="Q16" s="110"/>
      <c r="S16">
        <f t="shared" si="0"/>
        <v>10</v>
      </c>
    </row>
    <row r="17" spans="1:19" ht="14" thickBot="1">
      <c r="A17" s="417"/>
      <c r="B17" s="285"/>
      <c r="C17" s="458" t="s">
        <v>1359</v>
      </c>
      <c r="D17" s="459"/>
      <c r="E17" s="459"/>
      <c r="F17" s="459"/>
      <c r="G17" s="459"/>
      <c r="H17" s="460"/>
      <c r="I17" s="286"/>
      <c r="J17" s="385" t="s">
        <v>2010</v>
      </c>
      <c r="K17" s="343"/>
      <c r="L17" s="343">
        <v>5</v>
      </c>
      <c r="M17" s="343" t="str">
        <f>IF(J17&gt;0,LOOKUP(J17,Skills!$A$2:$A$473,Skills!$B$2:$B$473),"")</f>
        <v>Awareness</v>
      </c>
      <c r="N17" s="386">
        <f t="shared" si="1"/>
        <v>3</v>
      </c>
      <c r="O17" s="387" t="str">
        <f>IF(J17=0,"",CharSheetFront!$T$22&amp;CharSheetBack!S17)</f>
        <v>D20+8</v>
      </c>
      <c r="S17">
        <f t="shared" si="0"/>
        <v>8</v>
      </c>
    </row>
    <row r="18" spans="1:19">
      <c r="A18" s="444" t="s">
        <v>1728</v>
      </c>
      <c r="B18" s="402"/>
      <c r="C18" s="461"/>
      <c r="D18" s="462"/>
      <c r="E18" s="462"/>
      <c r="F18" s="462"/>
      <c r="G18" s="462"/>
      <c r="H18" s="463"/>
      <c r="I18" s="286"/>
      <c r="J18" s="385" t="s">
        <v>1837</v>
      </c>
      <c r="K18" s="343"/>
      <c r="L18" s="343">
        <v>5</v>
      </c>
      <c r="M18" s="343" t="str">
        <f>IF(J18&gt;0,LOOKUP(J18,Skills!$A$2:$A$473,Skills!$B$2:$B$473),"")</f>
        <v>Initiative</v>
      </c>
      <c r="N18" s="386">
        <f t="shared" si="1"/>
        <v>6</v>
      </c>
      <c r="O18" s="387" t="str">
        <f>IF(J18=0,"",CharSheetFront!$T$22&amp;CharSheetBack!S18)</f>
        <v>D20+11</v>
      </c>
      <c r="S18">
        <f t="shared" si="0"/>
        <v>11</v>
      </c>
    </row>
    <row r="19" spans="1:19" ht="14" thickBot="1">
      <c r="A19" s="388" t="s">
        <v>1838</v>
      </c>
      <c r="B19" s="284"/>
      <c r="C19" s="467"/>
      <c r="D19" s="468"/>
      <c r="E19" s="468"/>
      <c r="F19" s="468"/>
      <c r="G19" s="468"/>
      <c r="H19" s="469"/>
      <c r="I19" s="286"/>
      <c r="J19" s="385" t="s">
        <v>1839</v>
      </c>
      <c r="K19" s="343"/>
      <c r="L19" s="343">
        <v>6</v>
      </c>
      <c r="M19" s="343" t="str">
        <f>IF(J19&gt;0,LOOKUP(J19,Skills!$A$2:$A$473,Skills!$B$2:$B$473),"")</f>
        <v>Initiative</v>
      </c>
      <c r="N19" s="386">
        <f t="shared" si="1"/>
        <v>6</v>
      </c>
      <c r="O19" s="387" t="str">
        <f>IF(J19=0,"",CharSheetFront!$T$22&amp;CharSheetBack!S19)</f>
        <v>D20+12</v>
      </c>
      <c r="S19">
        <f t="shared" si="0"/>
        <v>12</v>
      </c>
    </row>
    <row r="20" spans="1:19" ht="14" thickBot="1">
      <c r="A20" s="401" t="s">
        <v>1840</v>
      </c>
      <c r="B20" s="402"/>
      <c r="C20" s="409"/>
      <c r="D20" s="409"/>
      <c r="E20" s="409"/>
      <c r="F20" s="409"/>
      <c r="G20" s="409"/>
      <c r="H20" s="409"/>
      <c r="I20" s="293"/>
      <c r="J20" s="385" t="s">
        <v>1993</v>
      </c>
      <c r="K20" s="343"/>
      <c r="L20" s="343">
        <v>6</v>
      </c>
      <c r="M20" s="343" t="str">
        <f>IF(J20&gt;0,LOOKUP(J20,Skills!$A$2:$A$473,Skills!$B$2:$B$473),"")</f>
        <v>Initiative</v>
      </c>
      <c r="N20" s="386">
        <f t="shared" si="1"/>
        <v>6</v>
      </c>
      <c r="O20" s="387" t="str">
        <f>IF(J20=0,"",CharSheetFront!$T$22&amp;CharSheetBack!S20)</f>
        <v>D20+12</v>
      </c>
      <c r="S20">
        <f t="shared" si="0"/>
        <v>12</v>
      </c>
    </row>
    <row r="21" spans="1:19">
      <c r="A21" s="388" t="s">
        <v>1994</v>
      </c>
      <c r="B21" s="284"/>
      <c r="C21" s="418" t="s">
        <v>1630</v>
      </c>
      <c r="D21" s="419"/>
      <c r="E21" s="419"/>
      <c r="F21" s="419"/>
      <c r="G21" s="419"/>
      <c r="H21" s="420"/>
      <c r="I21" s="293"/>
      <c r="J21" s="385" t="s">
        <v>1995</v>
      </c>
      <c r="K21" s="343"/>
      <c r="L21" s="343">
        <v>5</v>
      </c>
      <c r="M21" s="343" t="str">
        <f>IF(J21&gt;0,LOOKUP(J21,Skills!$A$2:$A$473,Skills!$B$2:$B$473),"")</f>
        <v>Intelligence</v>
      </c>
      <c r="N21" s="386">
        <f t="shared" si="1"/>
        <v>6</v>
      </c>
      <c r="O21" s="387" t="str">
        <f>IF(J21=0,"",CharSheetFront!$T$22&amp;CharSheetBack!S21)</f>
        <v>D20+11</v>
      </c>
      <c r="S21">
        <f t="shared" si="0"/>
        <v>11</v>
      </c>
    </row>
    <row r="22" spans="1:19" ht="13" customHeight="1">
      <c r="A22" s="415" t="s">
        <v>1996</v>
      </c>
      <c r="B22" s="284"/>
      <c r="C22" s="451" t="s">
        <v>1834</v>
      </c>
      <c r="D22" s="452"/>
      <c r="E22" s="452"/>
      <c r="F22" s="452"/>
      <c r="G22" s="452"/>
      <c r="H22" s="453"/>
      <c r="I22" s="116"/>
      <c r="J22" s="385" t="s">
        <v>1835</v>
      </c>
      <c r="K22" s="343"/>
      <c r="L22" s="343">
        <v>8</v>
      </c>
      <c r="M22" s="343" t="str">
        <f>IF(J22&gt;0,LOOKUP(J22,Skills!$A$2:$A$473,Skills!$B$2:$B$473),"")</f>
        <v>Intelligence</v>
      </c>
      <c r="N22" s="386">
        <f t="shared" si="1"/>
        <v>3</v>
      </c>
      <c r="O22" s="387" t="str">
        <f>IF(J22=0,"",CharSheetFront!$T$22&amp;CharSheetBack!S22)</f>
        <v>D20+11</v>
      </c>
      <c r="S22">
        <f t="shared" si="0"/>
        <v>11</v>
      </c>
    </row>
    <row r="23" spans="1:19">
      <c r="A23" s="388" t="s">
        <v>1836</v>
      </c>
      <c r="B23" s="284"/>
      <c r="C23" s="454"/>
      <c r="D23" s="452"/>
      <c r="E23" s="452"/>
      <c r="F23" s="452"/>
      <c r="G23" s="452"/>
      <c r="H23" s="453"/>
      <c r="I23" s="421"/>
      <c r="J23" s="385" t="s">
        <v>1831</v>
      </c>
      <c r="K23" s="343"/>
      <c r="L23" s="343">
        <v>5</v>
      </c>
      <c r="M23" s="343" t="str">
        <f>IF(J23&gt;0,LOOKUP(J23,Skills!$A$2:$A$473,Skills!$B$2:$B$473),"")</f>
        <v>Intelligence</v>
      </c>
      <c r="N23" s="386">
        <f t="shared" si="1"/>
        <v>3</v>
      </c>
      <c r="O23" s="387" t="str">
        <f>IF(J23=0,"",CharSheetFront!$T$22&amp;CharSheetBack!S23)</f>
        <v>D20+8</v>
      </c>
      <c r="S23">
        <f t="shared" si="0"/>
        <v>8</v>
      </c>
    </row>
    <row r="24" spans="1:19">
      <c r="A24" s="415"/>
      <c r="B24" s="284"/>
      <c r="C24" s="454"/>
      <c r="D24" s="452"/>
      <c r="E24" s="452"/>
      <c r="F24" s="452"/>
      <c r="G24" s="452"/>
      <c r="H24" s="453"/>
      <c r="I24" s="398"/>
      <c r="J24" s="385" t="s">
        <v>1647</v>
      </c>
      <c r="K24" s="343"/>
      <c r="L24" s="343">
        <v>8</v>
      </c>
      <c r="M24" s="343" t="str">
        <f>IF(J24&gt;0,LOOKUP(J24,Skills!$A$2:$A$473,Skills!$B$2:$B$473),"")</f>
        <v>Intelligence</v>
      </c>
      <c r="N24" s="386">
        <f t="shared" si="1"/>
        <v>3</v>
      </c>
      <c r="O24" s="387" t="str">
        <f>IF(J24=0,"",CharSheetFront!$T$22&amp;CharSheetBack!S24)</f>
        <v>D20+11</v>
      </c>
      <c r="S24">
        <f t="shared" si="0"/>
        <v>11</v>
      </c>
    </row>
    <row r="25" spans="1:19">
      <c r="A25" s="388"/>
      <c r="B25" s="284"/>
      <c r="C25" s="454"/>
      <c r="D25" s="452"/>
      <c r="E25" s="452"/>
      <c r="F25" s="452"/>
      <c r="G25" s="452"/>
      <c r="H25" s="453"/>
      <c r="I25" s="398"/>
      <c r="J25" s="385" t="s">
        <v>1937</v>
      </c>
      <c r="K25" s="343"/>
      <c r="L25" s="343">
        <v>8</v>
      </c>
      <c r="M25" s="343" t="str">
        <f>IF(J25&gt;0,LOOKUP(J25,Skills!$A$2:$A$473,Skills!$B$2:$B$473),"")</f>
        <v>Dexterity</v>
      </c>
      <c r="N25" s="386">
        <f t="shared" si="1"/>
        <v>3</v>
      </c>
      <c r="O25" s="387" t="str">
        <f>IF(J25=0,"",CharSheetFront!$T$22&amp;CharSheetBack!S25)</f>
        <v>D20+11</v>
      </c>
      <c r="S25">
        <f t="shared" si="0"/>
        <v>11</v>
      </c>
    </row>
    <row r="26" spans="1:19">
      <c r="A26" s="415"/>
      <c r="B26" s="284"/>
      <c r="C26" s="454"/>
      <c r="D26" s="452"/>
      <c r="E26" s="452"/>
      <c r="F26" s="452"/>
      <c r="G26" s="452"/>
      <c r="H26" s="453"/>
      <c r="I26" s="116"/>
      <c r="J26" s="442" t="s">
        <v>1938</v>
      </c>
      <c r="K26" s="343"/>
      <c r="L26" s="343">
        <v>8</v>
      </c>
      <c r="M26" s="343" t="str">
        <f>IF(J26&gt;0,LOOKUP(J26,Skills!$A$2:$A$473,Skills!$B$2:$B$473),"")</f>
        <v>Intelligence</v>
      </c>
      <c r="N26" s="386">
        <f t="shared" si="1"/>
        <v>4</v>
      </c>
      <c r="O26" s="387" t="str">
        <f>IF(J26=0,"",CharSheetFront!$T$22&amp;CharSheetBack!S26)</f>
        <v>D20+12</v>
      </c>
      <c r="S26">
        <f t="shared" si="0"/>
        <v>12</v>
      </c>
    </row>
    <row r="27" spans="1:19">
      <c r="A27" s="388"/>
      <c r="B27" s="284"/>
      <c r="C27" s="454"/>
      <c r="D27" s="452"/>
      <c r="E27" s="452"/>
      <c r="F27" s="452"/>
      <c r="G27" s="452"/>
      <c r="H27" s="453"/>
      <c r="I27" s="380"/>
      <c r="J27" s="385" t="s">
        <v>1939</v>
      </c>
      <c r="K27" s="343"/>
      <c r="L27" s="343">
        <v>5</v>
      </c>
      <c r="M27" s="343" t="str">
        <f>IF(J27&gt;0,LOOKUP(J27,Skills!$A$2:$A$473,Skills!$B$2:$B$473),"")</f>
        <v>Intelligence</v>
      </c>
      <c r="N27" s="386">
        <f t="shared" si="1"/>
        <v>3</v>
      </c>
      <c r="O27" s="387" t="str">
        <f>IF(J27=0,"",CharSheetFront!$T$22&amp;CharSheetBack!S27)</f>
        <v>D20+8</v>
      </c>
      <c r="S27">
        <f t="shared" si="0"/>
        <v>8</v>
      </c>
    </row>
    <row r="28" spans="1:19">
      <c r="A28" s="415"/>
      <c r="B28" s="284"/>
      <c r="C28" s="454"/>
      <c r="D28" s="452"/>
      <c r="E28" s="452"/>
      <c r="F28" s="452"/>
      <c r="G28" s="452"/>
      <c r="H28" s="453"/>
      <c r="I28" s="398"/>
      <c r="J28" s="385" t="s">
        <v>1940</v>
      </c>
      <c r="K28" s="343"/>
      <c r="L28" s="343">
        <v>6</v>
      </c>
      <c r="M28" s="343" t="str">
        <f>IF(J28&gt;0,LOOKUP(J28,Skills!$A$2:$A$473,Skills!$B$2:$B$473),"")</f>
        <v>Intelligence</v>
      </c>
      <c r="N28" s="386">
        <f t="shared" si="1"/>
        <v>3</v>
      </c>
      <c r="O28" s="387" t="str">
        <f>IF(J28=0,"",CharSheetFront!$T$22&amp;CharSheetBack!S28)</f>
        <v>D20+9</v>
      </c>
      <c r="S28">
        <f t="shared" si="0"/>
        <v>9</v>
      </c>
    </row>
    <row r="29" spans="1:19" ht="14" thickBot="1">
      <c r="A29" s="417"/>
      <c r="B29" s="284"/>
      <c r="C29" s="454"/>
      <c r="D29" s="452"/>
      <c r="E29" s="452"/>
      <c r="F29" s="452"/>
      <c r="G29" s="452"/>
      <c r="H29" s="453"/>
      <c r="I29" s="398"/>
      <c r="J29" s="385" t="s">
        <v>1941</v>
      </c>
      <c r="K29" s="343"/>
      <c r="L29" s="343">
        <v>5</v>
      </c>
      <c r="M29" s="343" t="str">
        <f>IF(J29&gt;0,LOOKUP(J29,Skills!$A$2:$A$473,Skills!$B$2:$B$473),"")</f>
        <v>Intelligence</v>
      </c>
      <c r="N29" s="386">
        <f t="shared" si="1"/>
        <v>3</v>
      </c>
      <c r="O29" s="387" t="str">
        <f>IF(J29=0,"",CharSheetFront!$T$22&amp;CharSheetBack!S29)</f>
        <v>D20+8</v>
      </c>
      <c r="S29">
        <f t="shared" si="0"/>
        <v>8</v>
      </c>
    </row>
    <row r="30" spans="1:19" ht="14" thickBot="1">
      <c r="A30" s="444" t="s">
        <v>1473</v>
      </c>
      <c r="B30" s="284"/>
      <c r="C30" s="454"/>
      <c r="D30" s="452"/>
      <c r="E30" s="452"/>
      <c r="F30" s="452"/>
      <c r="G30" s="452"/>
      <c r="H30" s="453"/>
      <c r="I30" s="116"/>
      <c r="J30" s="311" t="s">
        <v>1942</v>
      </c>
      <c r="K30" s="345"/>
      <c r="L30" s="345">
        <v>8</v>
      </c>
      <c r="M30" s="345" t="str">
        <f>IF(J30&gt;0,LOOKUP(J30,Skills!$A$2:$A$473,Skills!$B$2:$B$473),"")</f>
        <v>Intelligence</v>
      </c>
      <c r="N30" s="407">
        <f>IF(J30&gt;0,LOOKUP(M2,$Q$2:$Q$15,$R$2:$R$15),"")</f>
        <v>3</v>
      </c>
      <c r="O30" s="422" t="str">
        <f>IF(J30=0,"",CharSheetFront!$T$22&amp;CharSheetBack!S30)</f>
        <v>D20+11</v>
      </c>
      <c r="S30">
        <f t="shared" si="0"/>
        <v>11</v>
      </c>
    </row>
    <row r="31" spans="1:19" ht="14" thickBot="1">
      <c r="A31" s="388" t="s">
        <v>332</v>
      </c>
      <c r="B31" s="284"/>
      <c r="C31" s="454"/>
      <c r="D31" s="452"/>
      <c r="E31" s="452"/>
      <c r="F31" s="452"/>
      <c r="G31" s="452"/>
      <c r="H31" s="453"/>
      <c r="I31" s="380"/>
      <c r="J31" s="284"/>
      <c r="K31" s="423"/>
      <c r="L31" s="398"/>
      <c r="M31" s="398"/>
      <c r="N31" s="398"/>
      <c r="O31" s="398"/>
    </row>
    <row r="32" spans="1:19">
      <c r="A32" s="401" t="s">
        <v>326</v>
      </c>
      <c r="B32" s="284"/>
      <c r="C32" s="454"/>
      <c r="D32" s="452"/>
      <c r="E32" s="452"/>
      <c r="F32" s="452"/>
      <c r="G32" s="452"/>
      <c r="H32" s="453"/>
      <c r="I32" s="398"/>
      <c r="J32" s="424" t="s">
        <v>1627</v>
      </c>
      <c r="K32" s="376"/>
      <c r="L32" s="412"/>
      <c r="M32" s="374"/>
      <c r="N32" s="376"/>
      <c r="O32" s="413"/>
    </row>
    <row r="33" spans="1:15">
      <c r="A33" s="388" t="s">
        <v>28</v>
      </c>
      <c r="B33" s="284"/>
      <c r="C33" s="454"/>
      <c r="D33" s="452"/>
      <c r="E33" s="452"/>
      <c r="F33" s="452"/>
      <c r="G33" s="452"/>
      <c r="H33" s="453"/>
      <c r="I33" s="286"/>
      <c r="J33" s="425" t="s">
        <v>2037</v>
      </c>
      <c r="K33" s="426"/>
      <c r="L33" s="390"/>
      <c r="M33" s="386"/>
      <c r="N33" s="426"/>
      <c r="O33" s="427"/>
    </row>
    <row r="34" spans="1:15">
      <c r="A34" s="415" t="s">
        <v>203</v>
      </c>
      <c r="B34" s="284"/>
      <c r="C34" s="454"/>
      <c r="D34" s="452"/>
      <c r="E34" s="452"/>
      <c r="F34" s="452"/>
      <c r="G34" s="452"/>
      <c r="H34" s="453"/>
      <c r="I34" s="286"/>
      <c r="J34" s="403" t="s">
        <v>1900</v>
      </c>
      <c r="K34" s="116"/>
      <c r="L34" s="428"/>
      <c r="M34" s="429"/>
      <c r="N34" s="430"/>
      <c r="O34" s="383"/>
    </row>
    <row r="35" spans="1:15">
      <c r="A35" s="388" t="s">
        <v>50</v>
      </c>
      <c r="B35" s="284"/>
      <c r="C35" s="454"/>
      <c r="D35" s="452"/>
      <c r="E35" s="452"/>
      <c r="F35" s="452"/>
      <c r="G35" s="452"/>
      <c r="H35" s="453"/>
      <c r="I35" s="286"/>
      <c r="J35" s="425" t="s">
        <v>1901</v>
      </c>
      <c r="K35" s="426"/>
      <c r="L35" s="390"/>
      <c r="M35" s="386"/>
      <c r="N35" s="426"/>
      <c r="O35" s="427"/>
    </row>
    <row r="36" spans="1:15">
      <c r="A36" s="415" t="s">
        <v>74</v>
      </c>
      <c r="B36" s="284"/>
      <c r="C36" s="454"/>
      <c r="D36" s="452"/>
      <c r="E36" s="452"/>
      <c r="F36" s="452"/>
      <c r="G36" s="452"/>
      <c r="H36" s="453"/>
      <c r="I36" s="286"/>
      <c r="J36" s="403" t="s">
        <v>1902</v>
      </c>
      <c r="K36" s="116"/>
      <c r="L36" s="428"/>
      <c r="M36" s="429"/>
      <c r="N36" s="430"/>
      <c r="O36" s="383"/>
    </row>
    <row r="37" spans="1:15">
      <c r="A37" s="388"/>
      <c r="B37" s="284"/>
      <c r="C37" s="454"/>
      <c r="D37" s="452"/>
      <c r="E37" s="452"/>
      <c r="F37" s="452"/>
      <c r="G37" s="452"/>
      <c r="H37" s="453"/>
      <c r="I37" s="286"/>
      <c r="J37" s="425" t="s">
        <v>1903</v>
      </c>
      <c r="K37" s="426"/>
      <c r="L37" s="390"/>
      <c r="M37" s="386"/>
      <c r="N37" s="426"/>
      <c r="O37" s="427"/>
    </row>
    <row r="38" spans="1:15">
      <c r="A38" s="415"/>
      <c r="B38" s="284"/>
      <c r="C38" s="454"/>
      <c r="D38" s="452"/>
      <c r="E38" s="452"/>
      <c r="F38" s="452"/>
      <c r="G38" s="452"/>
      <c r="H38" s="453"/>
      <c r="I38" s="116"/>
      <c r="J38" s="403" t="s">
        <v>2044</v>
      </c>
      <c r="K38" s="116"/>
      <c r="L38" s="428"/>
      <c r="M38" s="429"/>
      <c r="N38" s="430"/>
      <c r="O38" s="383"/>
    </row>
    <row r="39" spans="1:15">
      <c r="A39" s="388"/>
      <c r="B39" s="284"/>
      <c r="C39" s="454"/>
      <c r="D39" s="452"/>
      <c r="E39" s="452"/>
      <c r="F39" s="452"/>
      <c r="G39" s="452"/>
      <c r="H39" s="453"/>
      <c r="I39" s="286"/>
      <c r="J39" s="425" t="s">
        <v>2045</v>
      </c>
      <c r="K39" s="426"/>
      <c r="L39" s="390"/>
      <c r="M39" s="386"/>
      <c r="N39" s="426"/>
      <c r="O39" s="427"/>
    </row>
    <row r="40" spans="1:15">
      <c r="A40" s="415"/>
      <c r="B40" s="284"/>
      <c r="C40" s="454"/>
      <c r="D40" s="452"/>
      <c r="E40" s="452"/>
      <c r="F40" s="452"/>
      <c r="G40" s="452"/>
      <c r="H40" s="453"/>
      <c r="I40" s="355"/>
      <c r="J40" s="403" t="s">
        <v>2046</v>
      </c>
      <c r="K40" s="116"/>
      <c r="L40" s="428"/>
      <c r="M40" s="429"/>
      <c r="N40" s="430"/>
      <c r="O40" s="383"/>
    </row>
    <row r="41" spans="1:15" ht="14" thickBot="1">
      <c r="A41" s="417"/>
      <c r="B41" s="284"/>
      <c r="C41" s="454"/>
      <c r="D41" s="452"/>
      <c r="E41" s="452"/>
      <c r="F41" s="452"/>
      <c r="G41" s="452"/>
      <c r="H41" s="453"/>
      <c r="I41" s="355"/>
      <c r="J41" s="425" t="s">
        <v>2047</v>
      </c>
      <c r="K41" s="426"/>
      <c r="L41" s="390"/>
      <c r="M41" s="386"/>
      <c r="N41" s="426"/>
      <c r="O41" s="427"/>
    </row>
    <row r="42" spans="1:15">
      <c r="A42" s="431" t="s">
        <v>1670</v>
      </c>
      <c r="B42" s="284"/>
      <c r="C42" s="454"/>
      <c r="D42" s="452"/>
      <c r="E42" s="452"/>
      <c r="F42" s="452"/>
      <c r="G42" s="452"/>
      <c r="H42" s="453"/>
      <c r="I42" s="293"/>
      <c r="J42" s="403"/>
      <c r="K42" s="116"/>
      <c r="L42" s="428"/>
      <c r="M42" s="429"/>
      <c r="N42" s="430"/>
      <c r="O42" s="383"/>
    </row>
    <row r="43" spans="1:15">
      <c r="A43" s="415"/>
      <c r="B43" s="285"/>
      <c r="C43" s="454"/>
      <c r="D43" s="452"/>
      <c r="E43" s="452"/>
      <c r="F43" s="452"/>
      <c r="G43" s="452"/>
      <c r="H43" s="453"/>
      <c r="I43" s="293"/>
      <c r="J43" s="425"/>
      <c r="K43" s="426"/>
      <c r="L43" s="390"/>
      <c r="M43" s="386"/>
      <c r="N43" s="426"/>
      <c r="O43" s="427"/>
    </row>
    <row r="44" spans="1:15">
      <c r="A44" s="415"/>
      <c r="B44" s="284"/>
      <c r="C44" s="454"/>
      <c r="D44" s="452"/>
      <c r="E44" s="452"/>
      <c r="F44" s="452"/>
      <c r="G44" s="452"/>
      <c r="H44" s="453"/>
      <c r="I44" s="346"/>
      <c r="J44" s="403"/>
      <c r="K44" s="116"/>
      <c r="L44" s="428"/>
      <c r="M44" s="429"/>
      <c r="N44" s="430"/>
      <c r="O44" s="383"/>
    </row>
    <row r="45" spans="1:15">
      <c r="A45" s="432"/>
      <c r="B45" s="285"/>
      <c r="C45" s="454"/>
      <c r="D45" s="452"/>
      <c r="E45" s="452"/>
      <c r="F45" s="452"/>
      <c r="G45" s="452"/>
      <c r="H45" s="453"/>
      <c r="I45" s="293"/>
      <c r="J45" s="425"/>
      <c r="K45" s="426"/>
      <c r="L45" s="390"/>
      <c r="M45" s="386"/>
      <c r="N45" s="426"/>
      <c r="O45" s="427"/>
    </row>
    <row r="46" spans="1:15" ht="14" thickBot="1">
      <c r="A46" s="433"/>
      <c r="B46" s="284"/>
      <c r="C46" s="454"/>
      <c r="D46" s="452"/>
      <c r="E46" s="452"/>
      <c r="F46" s="452"/>
      <c r="G46" s="452"/>
      <c r="H46" s="453"/>
      <c r="I46" s="355"/>
      <c r="J46" s="403"/>
      <c r="K46" s="116"/>
      <c r="L46" s="116"/>
      <c r="M46" s="429"/>
      <c r="N46" s="430"/>
      <c r="O46" s="383"/>
    </row>
    <row r="47" spans="1:15">
      <c r="A47" s="431" t="s">
        <v>1671</v>
      </c>
      <c r="B47" s="285"/>
      <c r="C47" s="454"/>
      <c r="D47" s="452"/>
      <c r="E47" s="452"/>
      <c r="F47" s="452"/>
      <c r="G47" s="452"/>
      <c r="H47" s="453"/>
      <c r="I47" s="355"/>
      <c r="J47" s="425"/>
      <c r="K47" s="426"/>
      <c r="L47" s="390"/>
      <c r="M47" s="386"/>
      <c r="N47" s="426"/>
      <c r="O47" s="427"/>
    </row>
    <row r="48" spans="1:15">
      <c r="A48" s="415"/>
      <c r="B48" s="284"/>
      <c r="C48" s="454"/>
      <c r="D48" s="452"/>
      <c r="E48" s="452"/>
      <c r="F48" s="452"/>
      <c r="G48" s="452"/>
      <c r="H48" s="453"/>
      <c r="I48" s="293"/>
      <c r="J48" s="403"/>
      <c r="K48" s="116"/>
      <c r="L48" s="116"/>
      <c r="M48" s="429"/>
      <c r="N48" s="430"/>
      <c r="O48" s="383"/>
    </row>
    <row r="49" spans="1:15">
      <c r="A49" s="432"/>
      <c r="B49" s="285"/>
      <c r="C49" s="454"/>
      <c r="D49" s="452"/>
      <c r="E49" s="452"/>
      <c r="F49" s="452"/>
      <c r="G49" s="452"/>
      <c r="H49" s="453"/>
      <c r="I49" s="293"/>
      <c r="J49" s="425"/>
      <c r="K49" s="426"/>
      <c r="L49" s="390"/>
      <c r="M49" s="386"/>
      <c r="N49" s="426"/>
      <c r="O49" s="427"/>
    </row>
    <row r="50" spans="1:15">
      <c r="A50" s="415"/>
      <c r="B50" s="284"/>
      <c r="C50" s="454"/>
      <c r="D50" s="452"/>
      <c r="E50" s="452"/>
      <c r="F50" s="452"/>
      <c r="G50" s="452"/>
      <c r="H50" s="453"/>
      <c r="I50" s="293"/>
      <c r="J50" s="403"/>
      <c r="K50" s="384"/>
      <c r="L50" s="116"/>
      <c r="M50" s="398"/>
      <c r="N50" s="384"/>
      <c r="O50" s="434"/>
    </row>
    <row r="51" spans="1:15" ht="14" thickBot="1">
      <c r="A51" s="433"/>
      <c r="B51" s="435"/>
      <c r="C51" s="455"/>
      <c r="D51" s="456"/>
      <c r="E51" s="456"/>
      <c r="F51" s="456"/>
      <c r="G51" s="456"/>
      <c r="H51" s="457"/>
      <c r="I51" s="435"/>
      <c r="J51" s="436"/>
      <c r="K51" s="437"/>
      <c r="L51" s="435"/>
      <c r="M51" s="407"/>
      <c r="N51" s="437"/>
      <c r="O51" s="438"/>
    </row>
  </sheetData>
  <sortState ref="Q2:R15">
    <sortCondition ref="Q3:Q15"/>
  </sortState>
  <mergeCells count="3">
    <mergeCell ref="C22:H51"/>
    <mergeCell ref="C14:H16"/>
    <mergeCell ref="C17:H19"/>
  </mergeCells>
  <phoneticPr fontId="6"/>
  <pageMargins left="0.5" right="0.5" top="0.5" bottom="0.5"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65"/>
  <sheetViews>
    <sheetView workbookViewId="0"/>
  </sheetViews>
  <sheetFormatPr baseColWidth="10" defaultRowHeight="13"/>
  <cols>
    <col min="2" max="14" width="10.83203125" style="103"/>
    <col min="17" max="17" width="10.83203125" style="103"/>
  </cols>
  <sheetData>
    <row r="1" spans="1:17" ht="94">
      <c r="A1" s="91" t="s">
        <v>658</v>
      </c>
      <c r="B1" s="91" t="s">
        <v>476</v>
      </c>
      <c r="C1" s="91" t="s">
        <v>1631</v>
      </c>
      <c r="D1" s="91" t="s">
        <v>418</v>
      </c>
      <c r="E1" s="91" t="s">
        <v>1922</v>
      </c>
      <c r="F1" s="91" t="s">
        <v>1987</v>
      </c>
      <c r="G1" s="91" t="s">
        <v>1988</v>
      </c>
      <c r="H1" s="91" t="s">
        <v>1833</v>
      </c>
      <c r="I1" s="91" t="s">
        <v>1062</v>
      </c>
      <c r="J1" s="91" t="s">
        <v>2014</v>
      </c>
      <c r="K1" s="91" t="s">
        <v>2015</v>
      </c>
      <c r="L1" s="91" t="s">
        <v>1632</v>
      </c>
      <c r="M1" s="91" t="s">
        <v>1430</v>
      </c>
      <c r="N1" s="91" t="s">
        <v>2038</v>
      </c>
      <c r="O1" s="91" t="s">
        <v>1884</v>
      </c>
      <c r="P1" s="91" t="s">
        <v>1345</v>
      </c>
      <c r="Q1" s="91" t="s">
        <v>1336</v>
      </c>
    </row>
    <row r="2" spans="1:17">
      <c r="A2" s="6" t="s">
        <v>747</v>
      </c>
      <c r="B2" s="92">
        <v>2</v>
      </c>
      <c r="C2" s="92">
        <v>2</v>
      </c>
      <c r="D2" s="5">
        <v>0</v>
      </c>
      <c r="E2" s="5">
        <v>0</v>
      </c>
      <c r="F2" s="92">
        <v>2</v>
      </c>
      <c r="G2" s="92">
        <v>2</v>
      </c>
      <c r="H2" s="5">
        <v>0</v>
      </c>
      <c r="I2" s="5">
        <v>0</v>
      </c>
      <c r="J2" s="5">
        <v>-2</v>
      </c>
      <c r="K2" s="5">
        <v>-2</v>
      </c>
      <c r="L2" s="5">
        <v>0</v>
      </c>
      <c r="M2" s="5">
        <v>-1</v>
      </c>
      <c r="N2" s="5">
        <v>0</v>
      </c>
      <c r="O2" s="6" t="s">
        <v>746</v>
      </c>
      <c r="Q2" s="103">
        <f>SUM(B2:M2)</f>
        <v>3</v>
      </c>
    </row>
    <row r="3" spans="1:17">
      <c r="A3" s="6" t="s">
        <v>1522</v>
      </c>
      <c r="B3" s="92">
        <v>4</v>
      </c>
      <c r="C3" s="92">
        <v>4</v>
      </c>
      <c r="D3" s="92">
        <v>-2</v>
      </c>
      <c r="E3" s="92">
        <v>-2</v>
      </c>
      <c r="F3" s="92">
        <v>4</v>
      </c>
      <c r="G3" s="92">
        <v>4</v>
      </c>
      <c r="H3" s="5">
        <v>-1</v>
      </c>
      <c r="I3" s="5">
        <v>0</v>
      </c>
      <c r="J3" s="5">
        <v>-2</v>
      </c>
      <c r="K3" s="5">
        <v>-2</v>
      </c>
      <c r="L3" s="5">
        <v>-1</v>
      </c>
      <c r="M3" s="5">
        <v>-2</v>
      </c>
      <c r="N3" s="92">
        <v>1</v>
      </c>
      <c r="O3" s="6" t="s">
        <v>1521</v>
      </c>
      <c r="Q3" s="103">
        <f t="shared" ref="Q3:Q15" si="0">SUM(B3:M3)</f>
        <v>4</v>
      </c>
    </row>
    <row r="4" spans="1:17">
      <c r="A4" s="6" t="s">
        <v>1532</v>
      </c>
      <c r="B4" s="92">
        <v>4</v>
      </c>
      <c r="C4" s="92">
        <v>4</v>
      </c>
      <c r="D4" s="5">
        <v>0</v>
      </c>
      <c r="E4" s="5">
        <v>0</v>
      </c>
      <c r="F4" s="92">
        <v>2</v>
      </c>
      <c r="G4" s="92">
        <v>2</v>
      </c>
      <c r="H4" s="5">
        <v>0</v>
      </c>
      <c r="I4" s="5">
        <v>0</v>
      </c>
      <c r="J4" s="5">
        <v>-2</v>
      </c>
      <c r="K4" s="5">
        <v>-2</v>
      </c>
      <c r="L4" s="5">
        <v>-1</v>
      </c>
      <c r="M4" s="5">
        <v>-1</v>
      </c>
      <c r="N4" s="5">
        <v>0</v>
      </c>
      <c r="O4" s="6" t="s">
        <v>1346</v>
      </c>
      <c r="Q4" s="103">
        <f t="shared" si="0"/>
        <v>6</v>
      </c>
    </row>
    <row r="5" spans="1:17">
      <c r="A5" s="6" t="s">
        <v>505</v>
      </c>
      <c r="B5" s="5">
        <v>1</v>
      </c>
      <c r="C5" s="5">
        <v>0</v>
      </c>
      <c r="D5" s="5">
        <v>-1</v>
      </c>
      <c r="E5" s="5">
        <v>0</v>
      </c>
      <c r="F5" s="5">
        <v>0</v>
      </c>
      <c r="G5" s="5">
        <v>0</v>
      </c>
      <c r="H5" s="5">
        <v>0</v>
      </c>
      <c r="I5" s="5">
        <v>0</v>
      </c>
      <c r="J5" s="5">
        <v>0</v>
      </c>
      <c r="K5" s="5">
        <v>0</v>
      </c>
      <c r="L5" s="5">
        <v>1</v>
      </c>
      <c r="M5" s="5">
        <v>1</v>
      </c>
      <c r="N5" s="5">
        <v>0</v>
      </c>
      <c r="O5" s="6" t="s">
        <v>1609</v>
      </c>
      <c r="Q5" s="103">
        <f t="shared" si="0"/>
        <v>2</v>
      </c>
    </row>
    <row r="6" spans="1:17">
      <c r="A6" s="6" t="s">
        <v>1056</v>
      </c>
      <c r="B6" s="92">
        <v>6</v>
      </c>
      <c r="C6" s="92">
        <v>6</v>
      </c>
      <c r="D6" s="5">
        <v>-2</v>
      </c>
      <c r="E6" s="5">
        <v>-2</v>
      </c>
      <c r="F6" s="5">
        <v>0</v>
      </c>
      <c r="G6" s="92">
        <v>4</v>
      </c>
      <c r="H6" s="5">
        <v>0</v>
      </c>
      <c r="I6" s="5">
        <v>0</v>
      </c>
      <c r="J6" s="5">
        <v>-1</v>
      </c>
      <c r="K6" s="5">
        <v>-1</v>
      </c>
      <c r="L6" s="5">
        <v>-1</v>
      </c>
      <c r="M6" s="5">
        <v>-2</v>
      </c>
      <c r="N6" s="92">
        <v>1</v>
      </c>
      <c r="O6" s="6" t="s">
        <v>1521</v>
      </c>
      <c r="Q6" s="103">
        <f t="shared" si="0"/>
        <v>7</v>
      </c>
    </row>
    <row r="7" spans="1:17">
      <c r="A7" s="6" t="s">
        <v>748</v>
      </c>
      <c r="B7" s="5">
        <v>0</v>
      </c>
      <c r="C7" s="5">
        <v>0</v>
      </c>
      <c r="D7" s="5">
        <v>0</v>
      </c>
      <c r="E7" s="5">
        <v>0</v>
      </c>
      <c r="F7" s="5">
        <v>-1</v>
      </c>
      <c r="G7" s="5">
        <v>-1</v>
      </c>
      <c r="H7" s="5">
        <v>0</v>
      </c>
      <c r="I7" s="5">
        <v>0</v>
      </c>
      <c r="J7" s="5">
        <v>-3</v>
      </c>
      <c r="K7" s="5">
        <v>-3</v>
      </c>
      <c r="L7" s="5">
        <v>-1</v>
      </c>
      <c r="M7" s="5">
        <v>-1</v>
      </c>
      <c r="N7" s="5">
        <v>0</v>
      </c>
      <c r="O7" s="6" t="s">
        <v>746</v>
      </c>
      <c r="Q7" s="103">
        <f t="shared" si="0"/>
        <v>-10</v>
      </c>
    </row>
    <row r="8" spans="1:17">
      <c r="A8" s="6" t="s">
        <v>1808</v>
      </c>
      <c r="B8" s="92">
        <v>2</v>
      </c>
      <c r="C8" s="92">
        <v>2</v>
      </c>
      <c r="D8" s="5">
        <v>0</v>
      </c>
      <c r="E8" s="5">
        <v>0</v>
      </c>
      <c r="F8" s="92">
        <v>2</v>
      </c>
      <c r="G8" s="92">
        <v>4</v>
      </c>
      <c r="H8" s="5">
        <v>0</v>
      </c>
      <c r="I8" s="5">
        <v>0</v>
      </c>
      <c r="J8" s="5">
        <v>0</v>
      </c>
      <c r="K8" s="5">
        <v>0</v>
      </c>
      <c r="L8" s="5">
        <v>0</v>
      </c>
      <c r="M8" s="5">
        <v>0</v>
      </c>
      <c r="N8" s="92">
        <v>1</v>
      </c>
      <c r="O8" s="6" t="s">
        <v>746</v>
      </c>
      <c r="Q8" s="103">
        <f t="shared" si="0"/>
        <v>10</v>
      </c>
    </row>
    <row r="9" spans="1:17">
      <c r="A9" s="6" t="s">
        <v>1611</v>
      </c>
      <c r="B9" s="92">
        <v>8</v>
      </c>
      <c r="C9" s="92">
        <v>8</v>
      </c>
      <c r="D9" s="5">
        <v>0</v>
      </c>
      <c r="E9" s="92">
        <v>2</v>
      </c>
      <c r="F9" s="5">
        <v>4</v>
      </c>
      <c r="G9" s="5">
        <v>4</v>
      </c>
      <c r="H9" s="5">
        <v>0</v>
      </c>
      <c r="I9" s="5">
        <v>0</v>
      </c>
      <c r="J9" s="5">
        <v>-2</v>
      </c>
      <c r="K9" s="5">
        <v>-2</v>
      </c>
      <c r="L9" s="5">
        <v>-1</v>
      </c>
      <c r="M9" s="5">
        <v>0</v>
      </c>
      <c r="N9" s="92">
        <v>2</v>
      </c>
      <c r="O9" s="6" t="s">
        <v>746</v>
      </c>
      <c r="Q9" s="103">
        <f t="shared" si="0"/>
        <v>21</v>
      </c>
    </row>
    <row r="10" spans="1:17">
      <c r="A10" s="6" t="s">
        <v>892</v>
      </c>
      <c r="B10" s="5">
        <v>0</v>
      </c>
      <c r="C10" s="5">
        <v>-1</v>
      </c>
      <c r="D10" s="92">
        <v>3</v>
      </c>
      <c r="E10" s="92">
        <v>3</v>
      </c>
      <c r="F10" s="5">
        <v>0</v>
      </c>
      <c r="G10" s="5">
        <v>0</v>
      </c>
      <c r="H10" s="5">
        <v>0</v>
      </c>
      <c r="I10" s="5">
        <v>0</v>
      </c>
      <c r="J10" s="5">
        <v>-3</v>
      </c>
      <c r="K10" s="5">
        <v>-3</v>
      </c>
      <c r="L10" s="92">
        <v>1</v>
      </c>
      <c r="M10" s="92">
        <v>1</v>
      </c>
      <c r="N10" s="92">
        <v>0</v>
      </c>
      <c r="O10" s="6" t="s">
        <v>1346</v>
      </c>
      <c r="Q10" s="103">
        <f t="shared" si="0"/>
        <v>1</v>
      </c>
    </row>
    <row r="11" spans="1:17">
      <c r="A11" s="6" t="s">
        <v>867</v>
      </c>
      <c r="B11" s="5">
        <v>-3</v>
      </c>
      <c r="C11" s="5">
        <v>-3</v>
      </c>
      <c r="D11" s="5">
        <v>-3</v>
      </c>
      <c r="E11" s="5">
        <v>-3</v>
      </c>
      <c r="F11" s="5">
        <v>0</v>
      </c>
      <c r="G11" s="5">
        <v>0</v>
      </c>
      <c r="H11" s="5">
        <v>0</v>
      </c>
      <c r="I11" s="5">
        <v>0</v>
      </c>
      <c r="J11" s="5">
        <v>0</v>
      </c>
      <c r="K11" s="5">
        <v>0</v>
      </c>
      <c r="L11" s="5">
        <v>-2</v>
      </c>
      <c r="M11" s="5">
        <v>-2</v>
      </c>
      <c r="N11" s="5">
        <v>1</v>
      </c>
      <c r="O11" s="6" t="s">
        <v>746</v>
      </c>
      <c r="Q11" s="103">
        <f t="shared" si="0"/>
        <v>-16</v>
      </c>
    </row>
    <row r="12" spans="1:17">
      <c r="A12" s="6" t="s">
        <v>1248</v>
      </c>
      <c r="B12" s="92">
        <v>10</v>
      </c>
      <c r="C12" s="92">
        <v>10</v>
      </c>
      <c r="D12" s="5">
        <v>-2</v>
      </c>
      <c r="E12" s="5">
        <v>-2</v>
      </c>
      <c r="F12" s="5">
        <v>0</v>
      </c>
      <c r="G12" s="5">
        <v>0</v>
      </c>
      <c r="H12" s="5">
        <v>0</v>
      </c>
      <c r="I12" s="5">
        <v>0</v>
      </c>
      <c r="J12" s="5">
        <v>-3</v>
      </c>
      <c r="K12" s="5">
        <v>0</v>
      </c>
      <c r="L12" s="5">
        <v>-1</v>
      </c>
      <c r="M12" s="5">
        <v>-2</v>
      </c>
      <c r="N12" s="92">
        <v>3</v>
      </c>
      <c r="O12" s="6" t="s">
        <v>746</v>
      </c>
      <c r="Q12" s="103">
        <f t="shared" si="0"/>
        <v>10</v>
      </c>
    </row>
    <row r="13" spans="1:17">
      <c r="A13" s="6" t="s">
        <v>775</v>
      </c>
      <c r="B13" s="92">
        <v>14</v>
      </c>
      <c r="C13" s="92">
        <v>14</v>
      </c>
      <c r="D13" s="5">
        <v>-3</v>
      </c>
      <c r="E13" s="5">
        <v>-3</v>
      </c>
      <c r="F13" s="5">
        <v>0</v>
      </c>
      <c r="G13" s="5">
        <v>0</v>
      </c>
      <c r="H13" s="5">
        <v>0</v>
      </c>
      <c r="I13" s="5">
        <v>0</v>
      </c>
      <c r="J13" s="5">
        <v>0</v>
      </c>
      <c r="K13" s="5">
        <v>0</v>
      </c>
      <c r="L13" s="5">
        <v>-1</v>
      </c>
      <c r="M13" s="5">
        <v>-2</v>
      </c>
      <c r="N13" s="92">
        <v>4</v>
      </c>
      <c r="O13" s="6" t="s">
        <v>746</v>
      </c>
      <c r="Q13" s="103">
        <f t="shared" si="0"/>
        <v>19</v>
      </c>
    </row>
    <row r="14" spans="1:17">
      <c r="A14" s="6" t="s">
        <v>776</v>
      </c>
      <c r="B14" s="5">
        <v>0</v>
      </c>
      <c r="C14" s="5">
        <v>0</v>
      </c>
      <c r="D14" s="5">
        <v>0</v>
      </c>
      <c r="E14" s="92">
        <v>2</v>
      </c>
      <c r="F14" s="5">
        <v>0</v>
      </c>
      <c r="G14" s="5">
        <v>0</v>
      </c>
      <c r="H14" s="5">
        <v>0</v>
      </c>
      <c r="I14" s="5">
        <v>0</v>
      </c>
      <c r="J14" s="5">
        <v>0</v>
      </c>
      <c r="K14" s="5">
        <v>0</v>
      </c>
      <c r="L14" s="5">
        <v>-1</v>
      </c>
      <c r="M14" s="5">
        <v>0</v>
      </c>
      <c r="N14" s="5">
        <v>0</v>
      </c>
      <c r="O14" s="6" t="s">
        <v>746</v>
      </c>
      <c r="Q14" s="103">
        <f t="shared" si="0"/>
        <v>1</v>
      </c>
    </row>
    <row r="15" spans="1:17">
      <c r="A15" s="6" t="s">
        <v>1024</v>
      </c>
      <c r="B15" s="5">
        <v>-2</v>
      </c>
      <c r="C15" s="5">
        <v>0</v>
      </c>
      <c r="D15" s="5">
        <v>-1</v>
      </c>
      <c r="E15" s="5">
        <v>0</v>
      </c>
      <c r="F15" s="5">
        <v>0</v>
      </c>
      <c r="G15" s="5">
        <v>0</v>
      </c>
      <c r="H15" s="5">
        <v>-2</v>
      </c>
      <c r="I15" s="5">
        <v>0</v>
      </c>
      <c r="J15" s="5">
        <v>2</v>
      </c>
      <c r="K15" s="5">
        <v>2</v>
      </c>
      <c r="L15" s="5">
        <v>-1</v>
      </c>
      <c r="M15" s="5">
        <v>-1</v>
      </c>
      <c r="N15" s="5">
        <v>-1</v>
      </c>
      <c r="O15" s="6" t="s">
        <v>1609</v>
      </c>
      <c r="P15" t="s">
        <v>1486</v>
      </c>
      <c r="Q15" s="103">
        <f t="shared" si="0"/>
        <v>-3</v>
      </c>
    </row>
    <row r="16" spans="1:17">
      <c r="A16" s="6" t="s">
        <v>1737</v>
      </c>
      <c r="B16" s="92">
        <v>4</v>
      </c>
      <c r="C16" s="92">
        <v>4</v>
      </c>
      <c r="D16" s="92">
        <v>0</v>
      </c>
      <c r="E16" s="92">
        <v>-1</v>
      </c>
      <c r="F16" s="92">
        <v>4</v>
      </c>
      <c r="G16" s="92">
        <v>2</v>
      </c>
      <c r="H16" s="92">
        <v>0</v>
      </c>
      <c r="I16" s="92">
        <v>1</v>
      </c>
      <c r="J16" s="92">
        <v>0</v>
      </c>
      <c r="K16" s="92">
        <v>0</v>
      </c>
      <c r="L16" s="92">
        <v>0</v>
      </c>
      <c r="M16" s="92">
        <v>0</v>
      </c>
      <c r="N16" s="5">
        <v>1</v>
      </c>
      <c r="O16" s="6" t="s">
        <v>1885</v>
      </c>
      <c r="Q16" s="4">
        <v>23</v>
      </c>
    </row>
    <row r="17" spans="1:17">
      <c r="A17" s="6" t="s">
        <v>987</v>
      </c>
      <c r="B17" s="5">
        <v>2</v>
      </c>
      <c r="C17" s="5">
        <v>0</v>
      </c>
      <c r="D17" s="5">
        <v>0</v>
      </c>
      <c r="E17" s="5">
        <v>0</v>
      </c>
      <c r="F17" s="5">
        <v>-1</v>
      </c>
      <c r="G17" s="5">
        <v>2</v>
      </c>
      <c r="H17" s="5">
        <v>0</v>
      </c>
      <c r="I17" s="5">
        <v>1</v>
      </c>
      <c r="J17" s="5">
        <v>0</v>
      </c>
      <c r="K17" s="5">
        <v>0</v>
      </c>
      <c r="L17" s="5">
        <v>1</v>
      </c>
      <c r="M17" s="5">
        <v>-2</v>
      </c>
      <c r="N17" s="5">
        <v>5</v>
      </c>
      <c r="O17" s="6" t="s">
        <v>578</v>
      </c>
      <c r="Q17" s="103">
        <f>SUM(B17:M17)</f>
        <v>3</v>
      </c>
    </row>
    <row r="18" spans="1:17">
      <c r="A18" s="6" t="s">
        <v>1738</v>
      </c>
      <c r="B18" s="5">
        <v>0</v>
      </c>
      <c r="C18" s="5">
        <v>0</v>
      </c>
      <c r="D18" s="92">
        <v>4</v>
      </c>
      <c r="E18" s="92">
        <v>4</v>
      </c>
      <c r="F18" s="5">
        <v>0</v>
      </c>
      <c r="G18" s="92">
        <v>-2</v>
      </c>
      <c r="H18" s="92">
        <v>1</v>
      </c>
      <c r="I18" s="92">
        <v>1</v>
      </c>
      <c r="J18" s="92">
        <v>2</v>
      </c>
      <c r="K18" s="92">
        <v>2</v>
      </c>
      <c r="L18" s="92">
        <v>1</v>
      </c>
      <c r="M18" s="92">
        <v>4</v>
      </c>
      <c r="N18" s="5">
        <v>0</v>
      </c>
      <c r="O18" s="6" t="s">
        <v>1885</v>
      </c>
      <c r="Q18" s="4">
        <v>36</v>
      </c>
    </row>
    <row r="19" spans="1:17">
      <c r="A19" s="6" t="s">
        <v>882</v>
      </c>
      <c r="B19" s="92">
        <v>6</v>
      </c>
      <c r="C19" s="92">
        <v>6</v>
      </c>
      <c r="D19" s="92">
        <v>-2</v>
      </c>
      <c r="E19" s="92">
        <v>-2</v>
      </c>
      <c r="F19" s="92">
        <v>2</v>
      </c>
      <c r="G19" s="92">
        <v>2</v>
      </c>
      <c r="H19" s="5">
        <v>0</v>
      </c>
      <c r="I19" s="5">
        <v>0</v>
      </c>
      <c r="J19" s="5">
        <v>-2</v>
      </c>
      <c r="K19" s="5">
        <v>-2</v>
      </c>
      <c r="L19" s="5">
        <v>-2</v>
      </c>
      <c r="M19" s="5">
        <v>-2</v>
      </c>
      <c r="N19" s="92">
        <v>1</v>
      </c>
      <c r="O19" s="6" t="s">
        <v>1346</v>
      </c>
      <c r="Q19" s="103">
        <f>SUM(B19:M19)</f>
        <v>4</v>
      </c>
    </row>
    <row r="20" spans="1:17">
      <c r="A20" s="6" t="s">
        <v>458</v>
      </c>
      <c r="B20" s="92">
        <v>2</v>
      </c>
      <c r="C20" s="92">
        <v>2</v>
      </c>
      <c r="D20" s="5">
        <v>0</v>
      </c>
      <c r="E20" s="5">
        <v>0</v>
      </c>
      <c r="F20" s="5">
        <v>0</v>
      </c>
      <c r="G20" s="5">
        <v>0</v>
      </c>
      <c r="H20" s="5">
        <v>0</v>
      </c>
      <c r="I20" s="5">
        <v>0</v>
      </c>
      <c r="J20" s="92">
        <v>2</v>
      </c>
      <c r="K20" s="92">
        <v>2</v>
      </c>
      <c r="L20" s="5">
        <v>-1</v>
      </c>
      <c r="M20" s="5">
        <v>-2</v>
      </c>
      <c r="N20" s="5">
        <v>0</v>
      </c>
      <c r="O20" s="6" t="s">
        <v>1521</v>
      </c>
      <c r="Q20" s="103">
        <f>SUM(B20:M20)</f>
        <v>5</v>
      </c>
    </row>
    <row r="21" spans="1:17">
      <c r="A21" s="6" t="s">
        <v>1543</v>
      </c>
      <c r="B21" s="92">
        <v>-4</v>
      </c>
      <c r="C21" s="92">
        <v>2</v>
      </c>
      <c r="D21" s="92">
        <v>2</v>
      </c>
      <c r="E21" s="92">
        <v>2</v>
      </c>
      <c r="F21" s="92">
        <v>2</v>
      </c>
      <c r="G21" s="92">
        <v>2</v>
      </c>
      <c r="H21" s="92">
        <v>0</v>
      </c>
      <c r="I21" s="92">
        <v>0</v>
      </c>
      <c r="J21" s="92">
        <v>0</v>
      </c>
      <c r="K21" s="92">
        <v>-1</v>
      </c>
      <c r="L21" s="92">
        <v>-1</v>
      </c>
      <c r="M21" s="92">
        <v>0</v>
      </c>
      <c r="N21" s="5">
        <v>-2</v>
      </c>
      <c r="O21" s="6" t="s">
        <v>1885</v>
      </c>
      <c r="Q21" s="4">
        <v>15</v>
      </c>
    </row>
    <row r="22" spans="1:17">
      <c r="A22" s="6" t="s">
        <v>1610</v>
      </c>
      <c r="B22" s="5">
        <v>0</v>
      </c>
      <c r="C22" s="5">
        <v>0</v>
      </c>
      <c r="D22" s="5">
        <v>0</v>
      </c>
      <c r="E22" s="5">
        <v>0</v>
      </c>
      <c r="F22" s="5">
        <v>0</v>
      </c>
      <c r="G22" s="5">
        <v>0</v>
      </c>
      <c r="H22" s="5">
        <v>0</v>
      </c>
      <c r="I22" s="5">
        <v>0</v>
      </c>
      <c r="J22" s="5">
        <v>0</v>
      </c>
      <c r="K22" s="5">
        <v>0</v>
      </c>
      <c r="L22" s="5">
        <v>0</v>
      </c>
      <c r="M22" s="5">
        <v>0</v>
      </c>
      <c r="N22" s="5">
        <v>2</v>
      </c>
      <c r="O22" s="6" t="s">
        <v>1609</v>
      </c>
      <c r="Q22" s="103">
        <f>SUM(B22:M22)</f>
        <v>0</v>
      </c>
    </row>
    <row r="23" spans="1:17">
      <c r="A23" s="6" t="s">
        <v>1416</v>
      </c>
      <c r="B23" s="5">
        <v>-1</v>
      </c>
      <c r="C23" s="5">
        <v>-1</v>
      </c>
      <c r="D23" s="92">
        <v>2</v>
      </c>
      <c r="E23" s="92">
        <v>2</v>
      </c>
      <c r="F23" s="5">
        <v>-1</v>
      </c>
      <c r="G23" s="5">
        <v>-1</v>
      </c>
      <c r="H23" s="5">
        <v>0</v>
      </c>
      <c r="I23" s="5">
        <v>0</v>
      </c>
      <c r="J23" s="5">
        <v>0</v>
      </c>
      <c r="K23" s="5">
        <v>0</v>
      </c>
      <c r="L23" s="5">
        <v>0</v>
      </c>
      <c r="M23" s="5">
        <v>-1</v>
      </c>
      <c r="N23" s="5">
        <v>-1</v>
      </c>
      <c r="O23" s="6" t="s">
        <v>1521</v>
      </c>
      <c r="P23" t="s">
        <v>1486</v>
      </c>
      <c r="Q23" s="103">
        <f>SUM(B23:M23)</f>
        <v>-1</v>
      </c>
    </row>
    <row r="24" spans="1:17">
      <c r="A24" s="6" t="s">
        <v>1749</v>
      </c>
      <c r="B24" s="5">
        <v>0</v>
      </c>
      <c r="C24" s="5">
        <v>0</v>
      </c>
      <c r="D24" s="92">
        <v>1</v>
      </c>
      <c r="E24" s="92">
        <v>1</v>
      </c>
      <c r="F24" s="5">
        <v>0</v>
      </c>
      <c r="G24" s="5">
        <v>0</v>
      </c>
      <c r="H24" s="5">
        <v>0</v>
      </c>
      <c r="I24" s="5">
        <v>0</v>
      </c>
      <c r="J24" s="92">
        <v>1</v>
      </c>
      <c r="K24" s="92">
        <v>1</v>
      </c>
      <c r="L24" s="5">
        <v>-1</v>
      </c>
      <c r="M24" s="5">
        <v>-1</v>
      </c>
      <c r="N24" s="5">
        <v>0</v>
      </c>
      <c r="O24" s="6" t="s">
        <v>1521</v>
      </c>
      <c r="Q24" s="103">
        <f>SUM(B24:M24)</f>
        <v>2</v>
      </c>
    </row>
    <row r="25" spans="1:17">
      <c r="A25" s="6" t="s">
        <v>1750</v>
      </c>
      <c r="B25" s="5">
        <v>0</v>
      </c>
      <c r="C25" s="5">
        <v>0</v>
      </c>
      <c r="D25" s="92">
        <v>1</v>
      </c>
      <c r="E25" s="92">
        <v>1</v>
      </c>
      <c r="F25" s="92">
        <v>1</v>
      </c>
      <c r="G25" s="92">
        <v>1</v>
      </c>
      <c r="H25" s="5">
        <v>0</v>
      </c>
      <c r="I25" s="5">
        <v>0</v>
      </c>
      <c r="J25" s="5">
        <v>-1</v>
      </c>
      <c r="K25" s="5">
        <v>-1</v>
      </c>
      <c r="L25" s="5">
        <v>-1</v>
      </c>
      <c r="M25" s="5">
        <v>-1</v>
      </c>
      <c r="N25" s="5">
        <v>0</v>
      </c>
      <c r="O25" s="6" t="s">
        <v>1521</v>
      </c>
      <c r="Q25" s="103">
        <f>SUM(B25:M25)</f>
        <v>0</v>
      </c>
    </row>
    <row r="26" spans="1:17">
      <c r="A26" s="6" t="s">
        <v>1912</v>
      </c>
      <c r="B26" s="5">
        <v>0</v>
      </c>
      <c r="C26" s="5">
        <v>0</v>
      </c>
      <c r="D26" s="5">
        <v>0</v>
      </c>
      <c r="E26" s="5">
        <v>0</v>
      </c>
      <c r="F26" s="5">
        <v>0</v>
      </c>
      <c r="G26" s="5">
        <v>0</v>
      </c>
      <c r="H26" s="5">
        <v>0</v>
      </c>
      <c r="I26" s="5">
        <v>0</v>
      </c>
      <c r="J26" s="5">
        <v>0</v>
      </c>
      <c r="K26" s="5">
        <v>0</v>
      </c>
      <c r="L26" s="5">
        <v>0</v>
      </c>
      <c r="M26" s="5">
        <v>0</v>
      </c>
      <c r="N26" s="5">
        <v>0</v>
      </c>
      <c r="O26" s="6" t="s">
        <v>1885</v>
      </c>
      <c r="Q26" s="4">
        <v>0</v>
      </c>
    </row>
    <row r="27" spans="1:17">
      <c r="A27" s="6" t="s">
        <v>1058</v>
      </c>
      <c r="B27" s="5">
        <v>2</v>
      </c>
      <c r="C27" s="5">
        <v>0</v>
      </c>
      <c r="D27" s="5">
        <v>1</v>
      </c>
      <c r="E27" s="5">
        <v>1</v>
      </c>
      <c r="F27" s="5">
        <v>1</v>
      </c>
      <c r="G27" s="5">
        <v>1</v>
      </c>
      <c r="H27" s="5">
        <v>0</v>
      </c>
      <c r="I27" s="5">
        <v>0</v>
      </c>
      <c r="J27" s="5">
        <v>0</v>
      </c>
      <c r="K27" s="5">
        <v>0</v>
      </c>
      <c r="L27" s="5">
        <v>-1</v>
      </c>
      <c r="M27" s="5">
        <v>-1</v>
      </c>
      <c r="N27" s="5">
        <v>-1</v>
      </c>
      <c r="O27" s="6" t="s">
        <v>1609</v>
      </c>
      <c r="Q27" s="103">
        <f t="shared" ref="Q27:Q34" si="1">SUM(B27:M27)</f>
        <v>4</v>
      </c>
    </row>
    <row r="28" spans="1:17">
      <c r="A28" s="6" t="s">
        <v>985</v>
      </c>
      <c r="B28" s="5">
        <v>1</v>
      </c>
      <c r="C28" s="5">
        <v>1</v>
      </c>
      <c r="D28" s="5">
        <v>1</v>
      </c>
      <c r="E28" s="5">
        <v>1</v>
      </c>
      <c r="F28" s="5">
        <v>3</v>
      </c>
      <c r="G28" s="5">
        <v>3</v>
      </c>
      <c r="H28" s="5">
        <v>-3</v>
      </c>
      <c r="I28" s="5">
        <v>0</v>
      </c>
      <c r="J28" s="5">
        <v>-3</v>
      </c>
      <c r="K28" s="5">
        <v>-3</v>
      </c>
      <c r="L28" s="5">
        <v>-2</v>
      </c>
      <c r="M28" s="5">
        <v>-2</v>
      </c>
      <c r="N28" s="5">
        <v>1</v>
      </c>
      <c r="O28" s="6" t="s">
        <v>578</v>
      </c>
      <c r="Q28" s="103">
        <f t="shared" si="1"/>
        <v>-3</v>
      </c>
    </row>
    <row r="29" spans="1:17">
      <c r="A29" s="6" t="s">
        <v>506</v>
      </c>
      <c r="B29" s="5">
        <v>2</v>
      </c>
      <c r="C29" s="5">
        <v>2</v>
      </c>
      <c r="D29" s="5">
        <v>0</v>
      </c>
      <c r="E29" s="5">
        <v>0</v>
      </c>
      <c r="F29" s="5">
        <v>0</v>
      </c>
      <c r="G29" s="5">
        <v>0</v>
      </c>
      <c r="H29" s="5">
        <v>-2</v>
      </c>
      <c r="I29" s="5">
        <v>0</v>
      </c>
      <c r="J29" s="5">
        <v>0</v>
      </c>
      <c r="K29" s="5">
        <v>0</v>
      </c>
      <c r="L29" s="5">
        <v>-2</v>
      </c>
      <c r="M29" s="5">
        <v>0</v>
      </c>
      <c r="N29" s="5">
        <v>4</v>
      </c>
      <c r="O29" s="6" t="s">
        <v>1609</v>
      </c>
      <c r="Q29" s="103">
        <f t="shared" si="1"/>
        <v>0</v>
      </c>
    </row>
    <row r="30" spans="1:17">
      <c r="A30" s="6" t="s">
        <v>986</v>
      </c>
      <c r="B30" s="5">
        <v>2</v>
      </c>
      <c r="C30" s="5">
        <v>0</v>
      </c>
      <c r="D30" s="5">
        <v>-1</v>
      </c>
      <c r="E30" s="5">
        <v>-2</v>
      </c>
      <c r="F30" s="5">
        <v>2</v>
      </c>
      <c r="G30" s="5">
        <v>2</v>
      </c>
      <c r="H30" s="5">
        <v>-2</v>
      </c>
      <c r="I30" s="5">
        <v>1</v>
      </c>
      <c r="J30" s="5">
        <v>-3</v>
      </c>
      <c r="K30" s="5">
        <v>-3</v>
      </c>
      <c r="L30" s="5">
        <v>-3</v>
      </c>
      <c r="M30" s="5">
        <v>-2</v>
      </c>
      <c r="N30" s="5">
        <v>4</v>
      </c>
      <c r="O30" s="6" t="s">
        <v>578</v>
      </c>
      <c r="Q30" s="103">
        <f t="shared" si="1"/>
        <v>-9</v>
      </c>
    </row>
    <row r="31" spans="1:17">
      <c r="A31" s="6" t="s">
        <v>1529</v>
      </c>
      <c r="B31" s="92">
        <v>4</v>
      </c>
      <c r="C31" s="92">
        <v>4</v>
      </c>
      <c r="D31" s="5">
        <v>0</v>
      </c>
      <c r="E31" s="5">
        <v>0</v>
      </c>
      <c r="F31" s="92">
        <v>2</v>
      </c>
      <c r="G31" s="92">
        <v>4</v>
      </c>
      <c r="H31" s="5">
        <v>0</v>
      </c>
      <c r="I31" s="5">
        <v>0</v>
      </c>
      <c r="J31" s="5">
        <v>-1</v>
      </c>
      <c r="K31" s="5">
        <v>-1</v>
      </c>
      <c r="L31" s="5">
        <v>-1</v>
      </c>
      <c r="M31" s="5">
        <v>-1</v>
      </c>
      <c r="N31" s="5">
        <v>0</v>
      </c>
      <c r="O31" s="6" t="s">
        <v>1346</v>
      </c>
      <c r="Q31" s="103">
        <f t="shared" si="1"/>
        <v>10</v>
      </c>
    </row>
    <row r="32" spans="1:17">
      <c r="A32" s="6" t="s">
        <v>917</v>
      </c>
      <c r="B32" s="92">
        <v>1</v>
      </c>
      <c r="C32" s="92">
        <v>1</v>
      </c>
      <c r="D32" s="92">
        <v>2</v>
      </c>
      <c r="E32" s="92">
        <v>2</v>
      </c>
      <c r="F32" s="92">
        <v>1</v>
      </c>
      <c r="G32" s="92">
        <v>1</v>
      </c>
      <c r="H32" s="92">
        <v>1</v>
      </c>
      <c r="I32" s="5">
        <v>0</v>
      </c>
      <c r="J32" s="92">
        <v>3</v>
      </c>
      <c r="K32" s="92">
        <v>5</v>
      </c>
      <c r="L32" s="5">
        <v>0</v>
      </c>
      <c r="M32" s="5">
        <v>0</v>
      </c>
      <c r="N32" s="5">
        <v>0</v>
      </c>
      <c r="O32" s="6" t="s">
        <v>1521</v>
      </c>
      <c r="Q32" s="103">
        <f t="shared" si="1"/>
        <v>17</v>
      </c>
    </row>
    <row r="33" spans="1:17">
      <c r="A33" s="6" t="s">
        <v>777</v>
      </c>
      <c r="B33" s="92">
        <v>-1</v>
      </c>
      <c r="C33" s="92">
        <v>-1</v>
      </c>
      <c r="D33" s="5">
        <v>0</v>
      </c>
      <c r="E33" s="5">
        <v>0</v>
      </c>
      <c r="F33" s="5">
        <v>0</v>
      </c>
      <c r="G33" s="92">
        <v>-1</v>
      </c>
      <c r="H33" s="5">
        <v>0</v>
      </c>
      <c r="I33" s="5">
        <v>0</v>
      </c>
      <c r="J33" s="92">
        <v>2</v>
      </c>
      <c r="K33" s="92">
        <v>2</v>
      </c>
      <c r="L33" s="5">
        <v>0</v>
      </c>
      <c r="M33" s="5">
        <v>0</v>
      </c>
      <c r="N33" s="92">
        <v>-1</v>
      </c>
      <c r="O33" s="6" t="s">
        <v>746</v>
      </c>
      <c r="Q33" s="103">
        <f t="shared" si="1"/>
        <v>1</v>
      </c>
    </row>
    <row r="34" spans="1:17">
      <c r="A34" s="6" t="s">
        <v>1867</v>
      </c>
      <c r="B34" s="92">
        <v>2</v>
      </c>
      <c r="C34" s="92">
        <v>2</v>
      </c>
      <c r="D34" s="92">
        <v>2</v>
      </c>
      <c r="E34" s="92">
        <v>2</v>
      </c>
      <c r="F34" s="5">
        <v>0</v>
      </c>
      <c r="G34" s="5">
        <v>0</v>
      </c>
      <c r="H34" s="92">
        <v>1</v>
      </c>
      <c r="I34" s="5">
        <v>0</v>
      </c>
      <c r="J34" s="5">
        <v>-1</v>
      </c>
      <c r="K34" s="5">
        <v>-1</v>
      </c>
      <c r="L34" s="5">
        <v>0</v>
      </c>
      <c r="M34" s="5">
        <v>0</v>
      </c>
      <c r="N34" s="92">
        <v>2</v>
      </c>
      <c r="O34" s="6" t="s">
        <v>1521</v>
      </c>
      <c r="Q34" s="103">
        <f t="shared" si="1"/>
        <v>7</v>
      </c>
    </row>
    <row r="35" spans="1:17">
      <c r="A35" s="6" t="s">
        <v>1913</v>
      </c>
      <c r="B35" s="92">
        <v>4</v>
      </c>
      <c r="C35" s="92">
        <v>4</v>
      </c>
      <c r="D35" s="5">
        <v>0</v>
      </c>
      <c r="E35" s="5">
        <v>0</v>
      </c>
      <c r="F35" s="92">
        <v>4</v>
      </c>
      <c r="G35" s="92">
        <v>6</v>
      </c>
      <c r="H35" s="92">
        <v>-1</v>
      </c>
      <c r="I35" s="92">
        <v>-1</v>
      </c>
      <c r="J35" s="92">
        <v>0</v>
      </c>
      <c r="K35" s="92">
        <v>0</v>
      </c>
      <c r="L35" s="92">
        <v>-1</v>
      </c>
      <c r="M35" s="92">
        <v>-2</v>
      </c>
      <c r="N35" s="92">
        <v>1</v>
      </c>
      <c r="O35" s="6" t="s">
        <v>1885</v>
      </c>
      <c r="Q35" s="4">
        <v>21</v>
      </c>
    </row>
    <row r="36" spans="1:17">
      <c r="A36" s="6" t="s">
        <v>1417</v>
      </c>
      <c r="B36" s="5">
        <v>0</v>
      </c>
      <c r="C36" s="5">
        <v>0</v>
      </c>
      <c r="D36" s="5">
        <v>0</v>
      </c>
      <c r="E36" s="5">
        <v>0</v>
      </c>
      <c r="F36" s="5">
        <v>0</v>
      </c>
      <c r="G36" s="5">
        <v>0</v>
      </c>
      <c r="H36" s="5">
        <v>0</v>
      </c>
      <c r="I36" s="5">
        <v>0</v>
      </c>
      <c r="J36" s="92">
        <v>1</v>
      </c>
      <c r="K36" s="92">
        <v>1</v>
      </c>
      <c r="L36" s="5">
        <v>0</v>
      </c>
      <c r="M36" s="5">
        <v>-1</v>
      </c>
      <c r="N36" s="5">
        <v>0</v>
      </c>
      <c r="O36" s="6" t="s">
        <v>1521</v>
      </c>
      <c r="Q36" s="103">
        <f>SUM(B36:M36)</f>
        <v>1</v>
      </c>
    </row>
    <row r="37" spans="1:17">
      <c r="A37" s="6" t="s">
        <v>889</v>
      </c>
      <c r="B37" s="5">
        <v>0</v>
      </c>
      <c r="C37" s="5">
        <v>0</v>
      </c>
      <c r="D37" s="92">
        <v>1</v>
      </c>
      <c r="E37" s="92">
        <v>1</v>
      </c>
      <c r="F37" s="5">
        <v>0</v>
      </c>
      <c r="G37" s="5">
        <v>0</v>
      </c>
      <c r="H37" s="5">
        <v>0</v>
      </c>
      <c r="I37" s="5">
        <v>0</v>
      </c>
      <c r="J37" s="92">
        <v>2</v>
      </c>
      <c r="K37" s="92">
        <v>2</v>
      </c>
      <c r="L37" s="5">
        <v>0</v>
      </c>
      <c r="M37" s="5">
        <v>0</v>
      </c>
      <c r="N37" s="5">
        <v>0</v>
      </c>
      <c r="O37" s="6" t="s">
        <v>1521</v>
      </c>
      <c r="Q37" s="103">
        <f>SUM(B37:M37)</f>
        <v>6</v>
      </c>
    </row>
    <row r="38" spans="1:17">
      <c r="A38" s="6" t="s">
        <v>583</v>
      </c>
      <c r="B38" s="5">
        <v>0</v>
      </c>
      <c r="C38" s="5">
        <v>0</v>
      </c>
      <c r="D38" s="5">
        <v>1</v>
      </c>
      <c r="E38" s="5">
        <v>1</v>
      </c>
      <c r="F38" s="5">
        <v>1</v>
      </c>
      <c r="G38" s="5">
        <v>1</v>
      </c>
      <c r="H38" s="5">
        <v>1</v>
      </c>
      <c r="I38" s="5">
        <v>3</v>
      </c>
      <c r="J38" s="5">
        <v>0</v>
      </c>
      <c r="K38" s="5">
        <v>0</v>
      </c>
      <c r="L38" s="5">
        <v>2</v>
      </c>
      <c r="M38" s="5">
        <v>-2</v>
      </c>
      <c r="N38" s="5">
        <v>-3</v>
      </c>
      <c r="O38" s="6" t="s">
        <v>578</v>
      </c>
      <c r="Q38" s="103">
        <f>SUM(B38:M38)</f>
        <v>8</v>
      </c>
    </row>
    <row r="39" spans="1:17">
      <c r="A39" s="6" t="s">
        <v>781</v>
      </c>
      <c r="B39" s="5">
        <v>-1</v>
      </c>
      <c r="C39" s="5">
        <v>-1</v>
      </c>
      <c r="D39" s="92">
        <v>2</v>
      </c>
      <c r="E39" s="92">
        <v>2</v>
      </c>
      <c r="F39" s="5">
        <v>0</v>
      </c>
      <c r="G39" s="5">
        <v>-1</v>
      </c>
      <c r="H39" s="5">
        <v>0</v>
      </c>
      <c r="I39" s="5">
        <v>0</v>
      </c>
      <c r="J39" s="5">
        <v>0</v>
      </c>
      <c r="K39" s="5">
        <v>0</v>
      </c>
      <c r="L39" s="5">
        <v>-1</v>
      </c>
      <c r="M39" s="5">
        <v>-2</v>
      </c>
      <c r="N39" s="92">
        <v>-1</v>
      </c>
      <c r="O39" s="6" t="s">
        <v>1521</v>
      </c>
      <c r="Q39" s="103">
        <f>SUM(B39:M39)</f>
        <v>-2</v>
      </c>
    </row>
    <row r="40" spans="1:17">
      <c r="A40" s="6" t="s">
        <v>1580</v>
      </c>
      <c r="B40" s="5">
        <v>0</v>
      </c>
      <c r="C40" s="5">
        <v>0</v>
      </c>
      <c r="D40" s="92">
        <v>3</v>
      </c>
      <c r="E40" s="92">
        <v>3</v>
      </c>
      <c r="F40" s="5">
        <v>0</v>
      </c>
      <c r="G40" s="5">
        <v>0</v>
      </c>
      <c r="H40" s="5">
        <v>0</v>
      </c>
      <c r="I40" s="5">
        <v>0</v>
      </c>
      <c r="J40" s="5">
        <v>0</v>
      </c>
      <c r="K40" s="5">
        <v>0</v>
      </c>
      <c r="L40" s="5">
        <v>0</v>
      </c>
      <c r="M40" s="5">
        <v>-2</v>
      </c>
      <c r="N40" s="5">
        <v>0</v>
      </c>
      <c r="O40" s="6" t="s">
        <v>746</v>
      </c>
      <c r="Q40" s="103">
        <f>SUM(B40:M40)</f>
        <v>4</v>
      </c>
    </row>
    <row r="41" spans="1:17">
      <c r="A41" s="6" t="s">
        <v>1528</v>
      </c>
      <c r="B41" s="92">
        <v>1</v>
      </c>
      <c r="C41" s="92">
        <v>1</v>
      </c>
      <c r="D41" s="92">
        <v>1</v>
      </c>
      <c r="E41" s="92">
        <v>2</v>
      </c>
      <c r="F41" s="92">
        <v>1</v>
      </c>
      <c r="G41" s="92">
        <v>1</v>
      </c>
      <c r="H41" s="92">
        <v>0</v>
      </c>
      <c r="I41" s="92">
        <v>0</v>
      </c>
      <c r="J41" s="92">
        <v>0</v>
      </c>
      <c r="K41" s="92">
        <v>0</v>
      </c>
      <c r="L41" s="92">
        <v>1</v>
      </c>
      <c r="M41" s="92">
        <v>-2</v>
      </c>
      <c r="N41" s="5">
        <v>0</v>
      </c>
      <c r="O41" s="6" t="s">
        <v>1885</v>
      </c>
      <c r="Q41" s="4">
        <v>15</v>
      </c>
    </row>
    <row r="42" spans="1:17">
      <c r="A42" s="6" t="s">
        <v>884</v>
      </c>
      <c r="B42" s="92">
        <v>12</v>
      </c>
      <c r="C42" s="92">
        <v>12</v>
      </c>
      <c r="D42" s="92">
        <v>-2</v>
      </c>
      <c r="E42" s="92">
        <v>-4</v>
      </c>
      <c r="F42" s="92">
        <v>8</v>
      </c>
      <c r="G42" s="92">
        <v>8</v>
      </c>
      <c r="H42" s="92">
        <v>0</v>
      </c>
      <c r="I42" s="92">
        <v>2</v>
      </c>
      <c r="J42" s="92">
        <v>-1</v>
      </c>
      <c r="K42" s="92">
        <v>-1</v>
      </c>
      <c r="L42" s="92">
        <v>1</v>
      </c>
      <c r="M42" s="92">
        <v>-1</v>
      </c>
      <c r="N42" s="92">
        <v>1</v>
      </c>
      <c r="O42" s="6" t="s">
        <v>1885</v>
      </c>
      <c r="Q42" s="4">
        <v>54</v>
      </c>
    </row>
    <row r="43" spans="1:17">
      <c r="A43" s="6" t="s">
        <v>1531</v>
      </c>
      <c r="B43" s="92">
        <v>4</v>
      </c>
      <c r="C43" s="92">
        <v>4</v>
      </c>
      <c r="D43" s="92">
        <v>1</v>
      </c>
      <c r="E43" s="92">
        <v>1</v>
      </c>
      <c r="F43" s="92">
        <v>4</v>
      </c>
      <c r="G43" s="92">
        <v>4</v>
      </c>
      <c r="H43" s="5">
        <v>0</v>
      </c>
      <c r="I43" s="5">
        <v>0</v>
      </c>
      <c r="J43" s="5">
        <v>0</v>
      </c>
      <c r="K43" s="5">
        <v>0</v>
      </c>
      <c r="L43" s="5">
        <v>0</v>
      </c>
      <c r="M43" s="5">
        <v>0</v>
      </c>
      <c r="N43" s="5">
        <v>0</v>
      </c>
      <c r="O43" s="6" t="s">
        <v>1346</v>
      </c>
      <c r="Q43" s="103">
        <f t="shared" ref="Q43:Q48" si="2">SUM(B43:M43)</f>
        <v>18</v>
      </c>
    </row>
    <row r="44" spans="1:17">
      <c r="A44" s="6" t="s">
        <v>1581</v>
      </c>
      <c r="B44" s="92">
        <v>1</v>
      </c>
      <c r="C44" s="92">
        <v>1</v>
      </c>
      <c r="D44" s="5">
        <v>0</v>
      </c>
      <c r="E44" s="5">
        <v>0</v>
      </c>
      <c r="F44" s="92">
        <v>1</v>
      </c>
      <c r="G44" s="92">
        <v>1</v>
      </c>
      <c r="H44" s="5">
        <v>0</v>
      </c>
      <c r="I44" s="5">
        <v>0</v>
      </c>
      <c r="J44" s="5">
        <v>-2</v>
      </c>
      <c r="K44" s="5">
        <v>-2</v>
      </c>
      <c r="L44" s="5">
        <v>-1</v>
      </c>
      <c r="M44" s="5">
        <v>-1</v>
      </c>
      <c r="N44" s="5">
        <v>0</v>
      </c>
      <c r="O44" s="6" t="s">
        <v>746</v>
      </c>
      <c r="Q44" s="103">
        <f t="shared" si="2"/>
        <v>-2</v>
      </c>
    </row>
    <row r="45" spans="1:17">
      <c r="A45" s="6" t="s">
        <v>1392</v>
      </c>
      <c r="B45" s="5">
        <v>0</v>
      </c>
      <c r="C45" s="5">
        <v>0</v>
      </c>
      <c r="D45" s="5">
        <v>0</v>
      </c>
      <c r="E45" s="5">
        <v>0</v>
      </c>
      <c r="F45" s="5">
        <v>0</v>
      </c>
      <c r="G45" s="5">
        <v>0</v>
      </c>
      <c r="H45" s="5">
        <v>0</v>
      </c>
      <c r="I45" s="5">
        <v>0</v>
      </c>
      <c r="J45" s="5">
        <v>0</v>
      </c>
      <c r="K45" s="5">
        <v>0</v>
      </c>
      <c r="L45" s="5">
        <v>-2</v>
      </c>
      <c r="M45" s="5">
        <v>-2</v>
      </c>
      <c r="N45" s="5">
        <v>0</v>
      </c>
      <c r="O45" s="6" t="s">
        <v>746</v>
      </c>
      <c r="Q45" s="103">
        <f t="shared" si="2"/>
        <v>-4</v>
      </c>
    </row>
    <row r="46" spans="1:17">
      <c r="A46" s="6" t="s">
        <v>927</v>
      </c>
      <c r="B46" s="5">
        <v>0</v>
      </c>
      <c r="C46" s="5">
        <v>0</v>
      </c>
      <c r="D46" s="92">
        <v>3</v>
      </c>
      <c r="E46" s="92">
        <v>3</v>
      </c>
      <c r="F46" s="92">
        <v>2</v>
      </c>
      <c r="G46" s="92">
        <v>2</v>
      </c>
      <c r="H46" s="92">
        <v>2</v>
      </c>
      <c r="I46" s="92">
        <v>2</v>
      </c>
      <c r="J46" s="92">
        <v>5</v>
      </c>
      <c r="K46" s="92">
        <v>5</v>
      </c>
      <c r="L46" s="92">
        <v>1</v>
      </c>
      <c r="M46" s="5">
        <v>-2</v>
      </c>
      <c r="N46" s="5">
        <v>0</v>
      </c>
      <c r="O46" s="6" t="s">
        <v>746</v>
      </c>
      <c r="Q46" s="103">
        <f t="shared" si="2"/>
        <v>23</v>
      </c>
    </row>
    <row r="47" spans="1:17">
      <c r="A47" s="6" t="s">
        <v>782</v>
      </c>
      <c r="B47" s="92">
        <v>4</v>
      </c>
      <c r="C47" s="92">
        <v>4</v>
      </c>
      <c r="D47" s="92">
        <v>-2</v>
      </c>
      <c r="E47" s="92">
        <v>-2</v>
      </c>
      <c r="F47" s="92">
        <v>2</v>
      </c>
      <c r="G47" s="92">
        <v>2</v>
      </c>
      <c r="H47" s="5">
        <v>-1</v>
      </c>
      <c r="I47" s="5">
        <v>0</v>
      </c>
      <c r="J47" s="5">
        <v>-1</v>
      </c>
      <c r="K47" s="5">
        <v>-2</v>
      </c>
      <c r="L47" s="5">
        <v>-1</v>
      </c>
      <c r="M47" s="5">
        <v>-1</v>
      </c>
      <c r="N47" s="92">
        <v>1</v>
      </c>
      <c r="O47" s="6" t="s">
        <v>1521</v>
      </c>
      <c r="Q47" s="103">
        <f t="shared" si="2"/>
        <v>2</v>
      </c>
    </row>
    <row r="48" spans="1:17">
      <c r="A48" s="6" t="s">
        <v>1093</v>
      </c>
      <c r="B48" s="5">
        <v>0</v>
      </c>
      <c r="C48" s="5">
        <v>0</v>
      </c>
      <c r="D48" s="5">
        <v>0</v>
      </c>
      <c r="E48" s="5">
        <v>0</v>
      </c>
      <c r="F48" s="5">
        <v>-1</v>
      </c>
      <c r="G48" s="5">
        <v>-1</v>
      </c>
      <c r="H48" s="5">
        <v>0</v>
      </c>
      <c r="I48" s="5">
        <v>0</v>
      </c>
      <c r="J48" s="92">
        <v>2</v>
      </c>
      <c r="K48" s="92">
        <v>2</v>
      </c>
      <c r="L48" s="5">
        <v>-1</v>
      </c>
      <c r="M48" s="5">
        <v>-1</v>
      </c>
      <c r="N48" s="5">
        <v>0</v>
      </c>
      <c r="O48" s="6" t="s">
        <v>1521</v>
      </c>
      <c r="Q48" s="103">
        <f t="shared" si="2"/>
        <v>0</v>
      </c>
    </row>
    <row r="49" spans="1:21">
      <c r="A49" s="6" t="s">
        <v>1177</v>
      </c>
      <c r="B49" s="5">
        <v>6</v>
      </c>
      <c r="C49" s="5">
        <v>6</v>
      </c>
      <c r="D49" s="5">
        <v>2</v>
      </c>
      <c r="E49" s="5">
        <v>3</v>
      </c>
      <c r="F49" s="5">
        <v>0</v>
      </c>
      <c r="G49" s="5">
        <v>0</v>
      </c>
      <c r="H49" s="5">
        <v>0</v>
      </c>
      <c r="I49" s="5">
        <v>0</v>
      </c>
      <c r="J49" s="92">
        <v>2</v>
      </c>
      <c r="K49" s="92">
        <v>2</v>
      </c>
      <c r="L49" s="5">
        <v>0</v>
      </c>
      <c r="M49" s="5">
        <v>0</v>
      </c>
      <c r="N49" s="5">
        <v>0</v>
      </c>
      <c r="O49" s="6" t="s">
        <v>1017</v>
      </c>
      <c r="Q49" s="4">
        <v>33</v>
      </c>
    </row>
    <row r="50" spans="1:21">
      <c r="A50" s="6" t="s">
        <v>1545</v>
      </c>
      <c r="B50" s="92">
        <v>-6</v>
      </c>
      <c r="C50" s="92">
        <v>0</v>
      </c>
      <c r="D50" s="92">
        <v>6</v>
      </c>
      <c r="E50" s="92">
        <v>6</v>
      </c>
      <c r="F50" s="92">
        <v>0</v>
      </c>
      <c r="G50" s="92">
        <v>-6</v>
      </c>
      <c r="H50" s="92">
        <v>0</v>
      </c>
      <c r="I50" s="92">
        <v>0</v>
      </c>
      <c r="J50" s="92">
        <v>2</v>
      </c>
      <c r="K50" s="92">
        <v>1</v>
      </c>
      <c r="L50" s="92">
        <v>0</v>
      </c>
      <c r="M50" s="92">
        <v>1</v>
      </c>
      <c r="N50" s="5">
        <v>-3</v>
      </c>
      <c r="O50" s="6" t="s">
        <v>1885</v>
      </c>
      <c r="P50" t="s">
        <v>1486</v>
      </c>
      <c r="Q50" s="4">
        <v>4</v>
      </c>
    </row>
    <row r="51" spans="1:21">
      <c r="A51" s="6" t="s">
        <v>580</v>
      </c>
      <c r="B51" s="5">
        <v>-2</v>
      </c>
      <c r="C51" s="5">
        <v>0</v>
      </c>
      <c r="D51" s="5">
        <v>2</v>
      </c>
      <c r="E51" s="5">
        <v>2</v>
      </c>
      <c r="F51" s="5">
        <v>1</v>
      </c>
      <c r="G51" s="5">
        <v>-2</v>
      </c>
      <c r="H51" s="5">
        <v>0</v>
      </c>
      <c r="I51" s="5">
        <v>0</v>
      </c>
      <c r="J51" s="5">
        <v>0</v>
      </c>
      <c r="K51" s="5">
        <v>0</v>
      </c>
      <c r="L51" s="5">
        <v>0</v>
      </c>
      <c r="M51" s="5">
        <v>-1</v>
      </c>
      <c r="N51" s="5">
        <v>-2</v>
      </c>
      <c r="O51" s="6" t="s">
        <v>578</v>
      </c>
      <c r="Q51" s="103">
        <f t="shared" ref="Q51:Q57" si="3">SUM(B51:M51)</f>
        <v>0</v>
      </c>
    </row>
    <row r="52" spans="1:21">
      <c r="A52" s="6" t="s">
        <v>774</v>
      </c>
      <c r="B52" s="5">
        <v>0</v>
      </c>
      <c r="C52" s="5">
        <v>0</v>
      </c>
      <c r="D52" s="5">
        <v>0</v>
      </c>
      <c r="E52" s="5">
        <v>0</v>
      </c>
      <c r="F52" s="92">
        <v>1</v>
      </c>
      <c r="G52" s="92">
        <v>1</v>
      </c>
      <c r="H52" s="5">
        <v>0</v>
      </c>
      <c r="I52" s="5">
        <v>0</v>
      </c>
      <c r="J52" s="5">
        <v>-5</v>
      </c>
      <c r="K52" s="5">
        <v>-5</v>
      </c>
      <c r="L52" s="5">
        <v>-1</v>
      </c>
      <c r="M52" s="5">
        <v>-1</v>
      </c>
      <c r="N52" s="5">
        <v>0</v>
      </c>
      <c r="O52" s="6" t="s">
        <v>1521</v>
      </c>
      <c r="Q52" s="103">
        <f t="shared" si="3"/>
        <v>-10</v>
      </c>
    </row>
    <row r="53" spans="1:21">
      <c r="A53" s="6" t="s">
        <v>797</v>
      </c>
      <c r="B53" s="5">
        <v>-1</v>
      </c>
      <c r="C53" s="5">
        <v>-1</v>
      </c>
      <c r="D53" s="5">
        <v>0</v>
      </c>
      <c r="E53" s="92">
        <v>1</v>
      </c>
      <c r="F53" s="5">
        <v>0</v>
      </c>
      <c r="G53" s="5">
        <v>-1</v>
      </c>
      <c r="H53" s="5">
        <v>0</v>
      </c>
      <c r="I53" s="5">
        <v>0</v>
      </c>
      <c r="J53" s="5">
        <v>0</v>
      </c>
      <c r="K53" s="5">
        <v>0</v>
      </c>
      <c r="L53" s="5">
        <v>-1</v>
      </c>
      <c r="M53" s="5">
        <v>-1</v>
      </c>
      <c r="N53" s="92">
        <v>-1</v>
      </c>
      <c r="O53" s="6" t="s">
        <v>746</v>
      </c>
      <c r="Q53" s="103">
        <f t="shared" si="3"/>
        <v>-4</v>
      </c>
    </row>
    <row r="54" spans="1:21">
      <c r="A54" s="6" t="s">
        <v>597</v>
      </c>
      <c r="B54" s="5">
        <v>-3</v>
      </c>
      <c r="C54" s="5">
        <v>0</v>
      </c>
      <c r="D54" s="5">
        <v>0</v>
      </c>
      <c r="E54" s="5">
        <v>-3</v>
      </c>
      <c r="F54" s="5">
        <v>-1</v>
      </c>
      <c r="G54" s="5">
        <v>-3</v>
      </c>
      <c r="H54" s="92">
        <v>5</v>
      </c>
      <c r="I54" s="92">
        <v>5</v>
      </c>
      <c r="J54" s="5">
        <v>-2</v>
      </c>
      <c r="K54" s="5">
        <v>-2</v>
      </c>
      <c r="L54" s="5">
        <v>0</v>
      </c>
      <c r="M54" s="5">
        <v>0</v>
      </c>
      <c r="N54" s="92">
        <v>-1</v>
      </c>
      <c r="O54" s="6" t="s">
        <v>746</v>
      </c>
      <c r="Q54" s="103">
        <f t="shared" si="3"/>
        <v>-4</v>
      </c>
    </row>
    <row r="55" spans="1:21">
      <c r="A55" s="6" t="s">
        <v>1482</v>
      </c>
      <c r="B55" s="5">
        <v>-6</v>
      </c>
      <c r="C55" s="5">
        <v>0</v>
      </c>
      <c r="D55" s="92">
        <v>1</v>
      </c>
      <c r="E55" s="92">
        <v>1</v>
      </c>
      <c r="F55" s="5">
        <v>0</v>
      </c>
      <c r="G55" s="5">
        <v>-6</v>
      </c>
      <c r="H55" s="92">
        <v>1</v>
      </c>
      <c r="I55" s="5">
        <v>0</v>
      </c>
      <c r="J55" s="92">
        <v>2</v>
      </c>
      <c r="K55" s="92">
        <v>2</v>
      </c>
      <c r="L55" s="5">
        <v>0</v>
      </c>
      <c r="M55" s="5">
        <v>0</v>
      </c>
      <c r="N55" s="92">
        <v>-3</v>
      </c>
      <c r="O55" s="6" t="s">
        <v>1521</v>
      </c>
      <c r="Q55" s="103">
        <f t="shared" si="3"/>
        <v>-5</v>
      </c>
    </row>
    <row r="56" spans="1:21">
      <c r="A56" s="6" t="s">
        <v>1579</v>
      </c>
      <c r="B56" s="92">
        <v>4</v>
      </c>
      <c r="C56" s="92">
        <v>4</v>
      </c>
      <c r="D56" s="5">
        <v>0</v>
      </c>
      <c r="E56" s="92">
        <v>2</v>
      </c>
      <c r="F56" s="5">
        <v>0</v>
      </c>
      <c r="G56" s="5">
        <v>0</v>
      </c>
      <c r="H56" s="5">
        <v>0</v>
      </c>
      <c r="I56" s="5">
        <v>0</v>
      </c>
      <c r="J56" s="5">
        <v>-2</v>
      </c>
      <c r="K56" s="5">
        <v>-2</v>
      </c>
      <c r="L56" s="5">
        <v>0</v>
      </c>
      <c r="M56" s="5">
        <v>0</v>
      </c>
      <c r="N56" s="92">
        <v>1</v>
      </c>
      <c r="O56" s="6" t="s">
        <v>746</v>
      </c>
      <c r="Q56" s="103">
        <f t="shared" si="3"/>
        <v>6</v>
      </c>
    </row>
    <row r="57" spans="1:21">
      <c r="A57" s="6" t="s">
        <v>1414</v>
      </c>
      <c r="B57" s="92">
        <v>2</v>
      </c>
      <c r="C57" s="92">
        <v>2</v>
      </c>
      <c r="D57" s="5">
        <v>0</v>
      </c>
      <c r="E57" s="5">
        <v>0</v>
      </c>
      <c r="F57" s="92">
        <v>2</v>
      </c>
      <c r="G57" s="92">
        <v>2</v>
      </c>
      <c r="H57" s="5">
        <v>0</v>
      </c>
      <c r="I57" s="5">
        <v>0</v>
      </c>
      <c r="J57" s="5">
        <v>0</v>
      </c>
      <c r="K57" s="5">
        <v>0</v>
      </c>
      <c r="L57" s="5">
        <v>-1</v>
      </c>
      <c r="M57" s="5">
        <v>-1</v>
      </c>
      <c r="N57" s="92">
        <v>1</v>
      </c>
      <c r="O57" s="6" t="s">
        <v>746</v>
      </c>
      <c r="Q57" s="103">
        <f t="shared" si="3"/>
        <v>6</v>
      </c>
    </row>
    <row r="58" spans="1:21">
      <c r="A58" s="6" t="s">
        <v>1886</v>
      </c>
      <c r="B58" s="92">
        <v>8</v>
      </c>
      <c r="C58" s="92">
        <v>4</v>
      </c>
      <c r="D58" s="92">
        <v>-1</v>
      </c>
      <c r="E58" s="92">
        <v>-1</v>
      </c>
      <c r="F58" s="92">
        <v>4</v>
      </c>
      <c r="G58" s="92">
        <v>10</v>
      </c>
      <c r="H58" s="92">
        <v>0</v>
      </c>
      <c r="I58" s="92">
        <v>1</v>
      </c>
      <c r="J58" s="92">
        <v>-1</v>
      </c>
      <c r="K58" s="92">
        <v>-1</v>
      </c>
      <c r="L58" s="92">
        <v>-1</v>
      </c>
      <c r="M58" s="92">
        <v>-2</v>
      </c>
      <c r="N58" s="92">
        <v>2</v>
      </c>
      <c r="O58" s="6" t="s">
        <v>1885</v>
      </c>
      <c r="Q58" s="4">
        <v>11</v>
      </c>
    </row>
    <row r="59" spans="1:21">
      <c r="A59" s="6" t="s">
        <v>778</v>
      </c>
      <c r="B59" s="5">
        <v>0</v>
      </c>
      <c r="C59" s="5">
        <v>0</v>
      </c>
      <c r="D59" s="5">
        <v>0</v>
      </c>
      <c r="E59" s="5">
        <v>0</v>
      </c>
      <c r="F59" s="5">
        <v>0</v>
      </c>
      <c r="G59" s="5">
        <v>-1</v>
      </c>
      <c r="H59" s="92">
        <v>1</v>
      </c>
      <c r="I59" s="5">
        <v>0</v>
      </c>
      <c r="J59" s="5">
        <v>0</v>
      </c>
      <c r="K59" s="5">
        <v>0</v>
      </c>
      <c r="L59" s="5">
        <v>0</v>
      </c>
      <c r="M59" s="5">
        <v>0</v>
      </c>
      <c r="N59" s="5">
        <v>0</v>
      </c>
      <c r="O59" s="6" t="s">
        <v>1521</v>
      </c>
      <c r="Q59" s="103">
        <f t="shared" ref="Q59:Q65" si="4">SUM(B59:M59)</f>
        <v>0</v>
      </c>
    </row>
    <row r="60" spans="1:21">
      <c r="A60" s="6" t="s">
        <v>1413</v>
      </c>
      <c r="B60" s="5">
        <v>-1</v>
      </c>
      <c r="C60" s="5">
        <v>0</v>
      </c>
      <c r="D60" s="5">
        <v>0</v>
      </c>
      <c r="E60" s="5">
        <v>1</v>
      </c>
      <c r="F60" s="5">
        <v>0</v>
      </c>
      <c r="G60" s="5">
        <v>0</v>
      </c>
      <c r="H60" s="5">
        <v>0</v>
      </c>
      <c r="I60" s="5">
        <v>0</v>
      </c>
      <c r="J60" s="5">
        <v>0</v>
      </c>
      <c r="K60" s="5">
        <v>0</v>
      </c>
      <c r="L60" s="5">
        <v>0</v>
      </c>
      <c r="M60" s="5">
        <v>0</v>
      </c>
      <c r="N60" s="5">
        <v>0</v>
      </c>
      <c r="O60" s="6" t="s">
        <v>1609</v>
      </c>
      <c r="Q60" s="103">
        <f t="shared" si="4"/>
        <v>0</v>
      </c>
    </row>
    <row r="61" spans="1:21">
      <c r="A61" s="6" t="s">
        <v>1391</v>
      </c>
      <c r="B61" s="5">
        <v>5</v>
      </c>
      <c r="C61" s="5">
        <v>0</v>
      </c>
      <c r="D61" s="5">
        <v>0</v>
      </c>
      <c r="E61" s="5">
        <v>0</v>
      </c>
      <c r="F61" s="5">
        <v>3</v>
      </c>
      <c r="G61" s="5">
        <v>3</v>
      </c>
      <c r="H61" s="5">
        <v>0</v>
      </c>
      <c r="I61" s="5">
        <v>0</v>
      </c>
      <c r="J61" s="5">
        <v>0</v>
      </c>
      <c r="K61" s="5">
        <v>0</v>
      </c>
      <c r="L61" s="5">
        <v>0</v>
      </c>
      <c r="M61" s="5">
        <v>-1</v>
      </c>
      <c r="N61" s="5">
        <v>-5</v>
      </c>
      <c r="O61" s="6" t="s">
        <v>1609</v>
      </c>
      <c r="Q61" s="103">
        <f t="shared" si="4"/>
        <v>10</v>
      </c>
    </row>
    <row r="62" spans="1:21">
      <c r="A62" s="6" t="s">
        <v>1353</v>
      </c>
      <c r="B62" s="92">
        <v>4</v>
      </c>
      <c r="C62" s="92">
        <v>4</v>
      </c>
      <c r="D62" s="5">
        <v>0</v>
      </c>
      <c r="E62" s="5">
        <v>0</v>
      </c>
      <c r="F62" s="92">
        <v>4</v>
      </c>
      <c r="G62" s="92">
        <v>4</v>
      </c>
      <c r="H62" s="92">
        <v>4</v>
      </c>
      <c r="I62" s="92">
        <v>4</v>
      </c>
      <c r="J62" s="92">
        <v>2</v>
      </c>
      <c r="K62" s="92">
        <v>2</v>
      </c>
      <c r="L62" s="92">
        <v>1</v>
      </c>
      <c r="M62" s="5">
        <v>0</v>
      </c>
      <c r="N62" s="5">
        <v>0</v>
      </c>
      <c r="O62" s="6" t="s">
        <v>1346</v>
      </c>
      <c r="Q62" s="103">
        <f t="shared" si="4"/>
        <v>29</v>
      </c>
    </row>
    <row r="63" spans="1:21">
      <c r="A63" s="6" t="s">
        <v>1196</v>
      </c>
      <c r="B63" s="92">
        <v>4</v>
      </c>
      <c r="C63" s="92">
        <v>4</v>
      </c>
      <c r="D63" s="5">
        <v>4</v>
      </c>
      <c r="E63" s="5">
        <v>4</v>
      </c>
      <c r="F63" s="92">
        <v>1</v>
      </c>
      <c r="G63" s="92">
        <v>1</v>
      </c>
      <c r="H63" s="92">
        <v>1</v>
      </c>
      <c r="I63" s="92">
        <v>1</v>
      </c>
      <c r="J63" s="92">
        <v>1</v>
      </c>
      <c r="K63" s="92">
        <v>1</v>
      </c>
      <c r="L63" s="92">
        <v>2</v>
      </c>
      <c r="M63" s="5">
        <v>2</v>
      </c>
      <c r="N63" s="5">
        <v>0</v>
      </c>
      <c r="O63" s="6" t="s">
        <v>1017</v>
      </c>
      <c r="P63" t="s">
        <v>1486</v>
      </c>
      <c r="Q63" s="4">
        <f t="shared" si="4"/>
        <v>26</v>
      </c>
      <c r="R63" t="s">
        <v>1029</v>
      </c>
      <c r="S63" t="s">
        <v>1018</v>
      </c>
      <c r="T63" t="s">
        <v>771</v>
      </c>
    </row>
    <row r="64" spans="1:21">
      <c r="A64" s="6" t="s">
        <v>1415</v>
      </c>
      <c r="B64" s="5">
        <v>0</v>
      </c>
      <c r="C64" s="5">
        <v>0</v>
      </c>
      <c r="D64" s="5">
        <v>0</v>
      </c>
      <c r="E64" s="92">
        <v>3</v>
      </c>
      <c r="F64" s="5">
        <v>0</v>
      </c>
      <c r="G64" s="92">
        <v>2</v>
      </c>
      <c r="H64" s="5">
        <v>0</v>
      </c>
      <c r="I64" s="5">
        <v>0</v>
      </c>
      <c r="J64" s="5">
        <v>-2</v>
      </c>
      <c r="K64" s="5">
        <v>-2</v>
      </c>
      <c r="L64" s="5">
        <v>0</v>
      </c>
      <c r="M64" s="5">
        <v>0</v>
      </c>
      <c r="N64" s="5">
        <v>0</v>
      </c>
      <c r="O64" s="6" t="s">
        <v>746</v>
      </c>
      <c r="Q64" s="103">
        <f t="shared" si="4"/>
        <v>1</v>
      </c>
      <c r="R64">
        <v>4</v>
      </c>
      <c r="S64">
        <v>4</v>
      </c>
      <c r="T64">
        <v>2</v>
      </c>
      <c r="U64">
        <v>2</v>
      </c>
    </row>
    <row r="65" spans="1:17">
      <c r="A65" s="6" t="s">
        <v>579</v>
      </c>
      <c r="B65" s="5">
        <v>0</v>
      </c>
      <c r="C65" s="5">
        <v>0</v>
      </c>
      <c r="D65" s="5">
        <v>1</v>
      </c>
      <c r="E65" s="5">
        <v>2</v>
      </c>
      <c r="F65" s="5">
        <v>0</v>
      </c>
      <c r="G65" s="5">
        <v>0</v>
      </c>
      <c r="H65" s="5">
        <v>1</v>
      </c>
      <c r="I65" s="5">
        <v>2</v>
      </c>
      <c r="J65" s="5">
        <v>0</v>
      </c>
      <c r="K65" s="5">
        <v>0</v>
      </c>
      <c r="L65" s="5">
        <v>0</v>
      </c>
      <c r="M65" s="5">
        <v>-2</v>
      </c>
      <c r="N65" s="5">
        <v>-2</v>
      </c>
      <c r="O65" s="6" t="s">
        <v>578</v>
      </c>
      <c r="Q65" s="103">
        <f t="shared" si="4"/>
        <v>4</v>
      </c>
    </row>
  </sheetData>
  <phoneticPr fontId="6"/>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01"/>
  <sheetViews>
    <sheetView workbookViewId="0">
      <selection activeCell="B6" sqref="B6"/>
    </sheetView>
  </sheetViews>
  <sheetFormatPr baseColWidth="10" defaultRowHeight="13"/>
  <cols>
    <col min="2" max="2" width="9.1640625" customWidth="1"/>
  </cols>
  <sheetData>
    <row r="1" spans="1:8" ht="28">
      <c r="A1" s="97" t="s">
        <v>840</v>
      </c>
      <c r="B1" s="98" t="s">
        <v>1332</v>
      </c>
      <c r="C1" s="98"/>
      <c r="D1" s="98"/>
      <c r="F1" s="115"/>
      <c r="G1" s="115"/>
      <c r="H1" s="98"/>
    </row>
    <row r="2" spans="1:8" ht="14">
      <c r="A2" s="100">
        <v>1</v>
      </c>
      <c r="B2" s="100">
        <v>-5</v>
      </c>
      <c r="F2" s="103"/>
      <c r="G2" s="103"/>
    </row>
    <row r="3" spans="1:8" ht="14">
      <c r="A3" s="100">
        <v>2</v>
      </c>
      <c r="B3" s="100">
        <v>-4</v>
      </c>
      <c r="F3" s="103"/>
      <c r="G3" s="103"/>
    </row>
    <row r="4" spans="1:8" ht="14">
      <c r="A4" s="99">
        <v>3</v>
      </c>
      <c r="B4" s="99">
        <v>-4</v>
      </c>
      <c r="F4" s="103"/>
      <c r="G4" s="103"/>
    </row>
    <row r="5" spans="1:8" ht="14">
      <c r="A5" s="99">
        <v>4</v>
      </c>
      <c r="B5" s="99">
        <v>-3</v>
      </c>
      <c r="F5" s="103"/>
      <c r="G5" s="103"/>
    </row>
    <row r="6" spans="1:8" ht="14">
      <c r="A6" s="99">
        <v>5</v>
      </c>
      <c r="B6" s="99">
        <v>-3</v>
      </c>
      <c r="F6" s="103"/>
      <c r="G6" s="103"/>
    </row>
    <row r="7" spans="1:8" ht="14">
      <c r="A7" s="99">
        <v>6</v>
      </c>
      <c r="B7" s="99">
        <v>-2</v>
      </c>
      <c r="F7" s="103"/>
      <c r="G7" s="103"/>
    </row>
    <row r="8" spans="1:8" ht="14">
      <c r="A8" s="99">
        <v>7</v>
      </c>
      <c r="B8" s="99">
        <v>-2</v>
      </c>
      <c r="F8" s="103"/>
      <c r="G8" s="103"/>
    </row>
    <row r="9" spans="1:8" ht="14">
      <c r="A9" s="99">
        <v>8</v>
      </c>
      <c r="B9" s="99">
        <v>-1</v>
      </c>
      <c r="F9" s="103"/>
      <c r="G9" s="103"/>
    </row>
    <row r="10" spans="1:8" ht="14">
      <c r="A10" s="99">
        <v>9</v>
      </c>
      <c r="B10" s="99">
        <v>-1</v>
      </c>
      <c r="F10" s="103"/>
      <c r="G10" s="103"/>
    </row>
    <row r="11" spans="1:8" ht="14">
      <c r="A11" s="99">
        <v>10</v>
      </c>
      <c r="B11" s="99">
        <v>0</v>
      </c>
      <c r="F11" s="103"/>
      <c r="G11" s="103"/>
    </row>
    <row r="12" spans="1:8" ht="14">
      <c r="A12" s="99">
        <v>11</v>
      </c>
      <c r="B12" s="99">
        <v>0</v>
      </c>
      <c r="F12" s="103"/>
      <c r="G12" s="103"/>
    </row>
    <row r="13" spans="1:8" ht="14">
      <c r="A13" s="99">
        <v>12</v>
      </c>
      <c r="B13" s="99">
        <v>1</v>
      </c>
      <c r="F13" s="103"/>
      <c r="G13" s="103"/>
    </row>
    <row r="14" spans="1:8" ht="14">
      <c r="A14" s="99">
        <v>13</v>
      </c>
      <c r="B14" s="99">
        <v>1</v>
      </c>
      <c r="F14" s="103"/>
      <c r="G14" s="103"/>
    </row>
    <row r="15" spans="1:8" ht="14">
      <c r="A15" s="99">
        <v>14</v>
      </c>
      <c r="B15" s="99">
        <v>2</v>
      </c>
      <c r="F15" s="103"/>
      <c r="G15" s="103"/>
    </row>
    <row r="16" spans="1:8" ht="14">
      <c r="A16" s="99">
        <v>15</v>
      </c>
      <c r="B16" s="99">
        <v>2</v>
      </c>
      <c r="F16" s="103"/>
      <c r="G16" s="103"/>
    </row>
    <row r="17" spans="1:7" ht="14">
      <c r="A17" s="99">
        <v>16</v>
      </c>
      <c r="B17" s="99">
        <v>3</v>
      </c>
      <c r="F17" s="103"/>
      <c r="G17" s="103"/>
    </row>
    <row r="18" spans="1:7" ht="14">
      <c r="A18" s="99">
        <v>17</v>
      </c>
      <c r="B18" s="99">
        <v>3</v>
      </c>
      <c r="F18" s="103"/>
      <c r="G18" s="103"/>
    </row>
    <row r="19" spans="1:7" ht="14">
      <c r="A19" s="99">
        <v>18</v>
      </c>
      <c r="B19" s="99">
        <v>4</v>
      </c>
      <c r="F19" s="103"/>
      <c r="G19" s="103"/>
    </row>
    <row r="20" spans="1:7" ht="14">
      <c r="A20" s="100">
        <v>19</v>
      </c>
      <c r="B20" s="100">
        <v>4</v>
      </c>
      <c r="F20" s="103"/>
      <c r="G20" s="103"/>
    </row>
    <row r="21" spans="1:7" ht="14">
      <c r="A21" s="100">
        <v>20</v>
      </c>
      <c r="B21" s="100">
        <v>5</v>
      </c>
      <c r="F21" s="103"/>
      <c r="G21" s="103"/>
    </row>
    <row r="22" spans="1:7" ht="14">
      <c r="A22" s="100">
        <v>21</v>
      </c>
      <c r="B22" s="100">
        <v>5</v>
      </c>
      <c r="F22" s="103"/>
      <c r="G22" s="103"/>
    </row>
    <row r="23" spans="1:7" ht="14">
      <c r="A23" s="100">
        <v>22</v>
      </c>
      <c r="B23" s="100">
        <v>6</v>
      </c>
      <c r="F23" s="103"/>
      <c r="G23" s="103"/>
    </row>
    <row r="24" spans="1:7" ht="14">
      <c r="A24" s="100">
        <v>23</v>
      </c>
      <c r="B24" s="100">
        <v>6</v>
      </c>
      <c r="F24" s="103"/>
      <c r="G24" s="103"/>
    </row>
    <row r="25" spans="1:7" ht="14">
      <c r="A25" s="100">
        <v>24</v>
      </c>
      <c r="B25" s="100">
        <v>7</v>
      </c>
      <c r="F25" s="103"/>
      <c r="G25" s="103"/>
    </row>
    <row r="26" spans="1:7" ht="14">
      <c r="A26" s="100">
        <v>25</v>
      </c>
      <c r="B26" s="100">
        <v>7</v>
      </c>
      <c r="F26" s="103"/>
      <c r="G26" s="103"/>
    </row>
    <row r="27" spans="1:7" ht="14">
      <c r="A27" s="100">
        <v>26</v>
      </c>
      <c r="B27" s="100">
        <v>8</v>
      </c>
      <c r="F27" s="103"/>
      <c r="G27" s="103"/>
    </row>
    <row r="28" spans="1:7" ht="14">
      <c r="A28" s="100">
        <v>27</v>
      </c>
      <c r="B28" s="100">
        <v>8</v>
      </c>
      <c r="F28" s="103"/>
      <c r="G28" s="103"/>
    </row>
    <row r="29" spans="1:7" ht="14">
      <c r="A29" s="100">
        <v>28</v>
      </c>
      <c r="B29" s="100">
        <v>9</v>
      </c>
      <c r="F29" s="103"/>
      <c r="G29" s="103"/>
    </row>
    <row r="30" spans="1:7" ht="14">
      <c r="A30" s="100">
        <v>29</v>
      </c>
      <c r="B30" s="100">
        <v>9</v>
      </c>
      <c r="F30" s="103"/>
      <c r="G30" s="103"/>
    </row>
    <row r="31" spans="1:7" ht="14">
      <c r="A31" s="100">
        <v>30</v>
      </c>
      <c r="B31" s="100">
        <v>10</v>
      </c>
      <c r="F31" s="103"/>
      <c r="G31" s="103"/>
    </row>
    <row r="32" spans="1:7" ht="14">
      <c r="A32" s="100">
        <v>31</v>
      </c>
      <c r="B32" s="100">
        <v>10</v>
      </c>
      <c r="F32" s="103"/>
      <c r="G32" s="103"/>
    </row>
    <row r="33" spans="1:7" ht="14">
      <c r="A33" s="100">
        <v>32</v>
      </c>
      <c r="B33" s="100">
        <v>11</v>
      </c>
      <c r="F33" s="103"/>
      <c r="G33" s="103"/>
    </row>
    <row r="34" spans="1:7" ht="14">
      <c r="A34" s="100">
        <v>33</v>
      </c>
      <c r="B34" s="100">
        <v>11</v>
      </c>
      <c r="F34" s="103"/>
      <c r="G34" s="103"/>
    </row>
    <row r="35" spans="1:7" ht="14">
      <c r="A35" s="100">
        <v>34</v>
      </c>
      <c r="B35" s="100">
        <v>12</v>
      </c>
      <c r="F35" s="103"/>
      <c r="G35" s="103"/>
    </row>
    <row r="36" spans="1:7" ht="14">
      <c r="A36" s="100">
        <v>35</v>
      </c>
      <c r="B36" s="100">
        <v>12</v>
      </c>
      <c r="F36" s="103"/>
      <c r="G36" s="103"/>
    </row>
    <row r="37" spans="1:7" ht="14">
      <c r="A37" s="100">
        <v>36</v>
      </c>
      <c r="B37" s="100">
        <v>13</v>
      </c>
      <c r="F37" s="103"/>
      <c r="G37" s="103"/>
    </row>
    <row r="38" spans="1:7" ht="14">
      <c r="A38" s="100">
        <v>37</v>
      </c>
      <c r="B38" s="100">
        <v>13</v>
      </c>
      <c r="F38" s="103"/>
      <c r="G38" s="103"/>
    </row>
    <row r="39" spans="1:7" ht="14">
      <c r="A39" s="100">
        <v>38</v>
      </c>
      <c r="B39" s="100">
        <v>14</v>
      </c>
      <c r="F39" s="103"/>
      <c r="G39" s="103"/>
    </row>
    <row r="40" spans="1:7" ht="14">
      <c r="A40" s="100">
        <v>39</v>
      </c>
      <c r="B40" s="100">
        <v>14</v>
      </c>
      <c r="F40" s="103"/>
      <c r="G40" s="103"/>
    </row>
    <row r="41" spans="1:7" ht="14">
      <c r="A41" s="100">
        <v>40</v>
      </c>
      <c r="B41" s="100">
        <v>15</v>
      </c>
      <c r="F41" s="103"/>
      <c r="G41" s="103"/>
    </row>
    <row r="42" spans="1:7" ht="14">
      <c r="A42" s="100">
        <v>41</v>
      </c>
      <c r="B42" s="100">
        <v>15</v>
      </c>
      <c r="F42" s="103"/>
      <c r="G42" s="103"/>
    </row>
    <row r="43" spans="1:7" ht="14">
      <c r="A43" s="100">
        <v>42</v>
      </c>
      <c r="B43" s="100">
        <v>16</v>
      </c>
      <c r="F43" s="103"/>
      <c r="G43" s="103"/>
    </row>
    <row r="44" spans="1:7" ht="14">
      <c r="A44" s="100">
        <v>43</v>
      </c>
      <c r="B44" s="100">
        <v>16</v>
      </c>
      <c r="F44" s="103"/>
      <c r="G44" s="103"/>
    </row>
    <row r="45" spans="1:7" ht="14">
      <c r="A45" s="100">
        <v>44</v>
      </c>
      <c r="B45" s="100">
        <v>17</v>
      </c>
      <c r="F45" s="103"/>
      <c r="G45" s="103"/>
    </row>
    <row r="46" spans="1:7" ht="14">
      <c r="A46" s="100">
        <v>45</v>
      </c>
      <c r="B46" s="100">
        <v>17</v>
      </c>
      <c r="F46" s="103"/>
      <c r="G46" s="103"/>
    </row>
    <row r="47" spans="1:7" ht="14">
      <c r="A47" s="100">
        <v>46</v>
      </c>
      <c r="B47" s="100">
        <v>18</v>
      </c>
      <c r="F47" s="103"/>
      <c r="G47" s="103"/>
    </row>
    <row r="48" spans="1:7" ht="14">
      <c r="A48" s="100">
        <v>47</v>
      </c>
      <c r="B48" s="100">
        <v>18</v>
      </c>
      <c r="F48" s="103"/>
      <c r="G48" s="103"/>
    </row>
    <row r="49" spans="1:7" ht="14">
      <c r="A49" s="100">
        <v>48</v>
      </c>
      <c r="B49" s="100">
        <v>19</v>
      </c>
      <c r="F49" s="103"/>
      <c r="G49" s="103"/>
    </row>
    <row r="50" spans="1:7" ht="14">
      <c r="A50" s="100">
        <v>49</v>
      </c>
      <c r="B50" s="100">
        <v>19</v>
      </c>
      <c r="F50" s="103"/>
      <c r="G50" s="103"/>
    </row>
    <row r="51" spans="1:7" ht="14">
      <c r="A51" s="100">
        <v>50</v>
      </c>
      <c r="B51" s="100">
        <v>20</v>
      </c>
      <c r="F51" s="103"/>
      <c r="G51" s="103"/>
    </row>
    <row r="52" spans="1:7" ht="14">
      <c r="A52" s="100">
        <v>51</v>
      </c>
      <c r="B52" s="100">
        <v>20</v>
      </c>
      <c r="F52" s="103"/>
      <c r="G52" s="103"/>
    </row>
    <row r="53" spans="1:7" ht="14">
      <c r="A53" s="100">
        <v>52</v>
      </c>
      <c r="B53" s="100">
        <v>21</v>
      </c>
      <c r="F53" s="103"/>
      <c r="G53" s="103"/>
    </row>
    <row r="54" spans="1:7" ht="14">
      <c r="A54" s="100">
        <v>53</v>
      </c>
      <c r="B54" s="100">
        <v>21</v>
      </c>
      <c r="F54" s="103"/>
      <c r="G54" s="103"/>
    </row>
    <row r="55" spans="1:7" ht="14">
      <c r="A55" s="100">
        <v>54</v>
      </c>
      <c r="B55" s="100">
        <v>22</v>
      </c>
      <c r="F55" s="103"/>
      <c r="G55" s="103"/>
    </row>
    <row r="56" spans="1:7" ht="14">
      <c r="A56" s="100">
        <v>55</v>
      </c>
      <c r="B56" s="100">
        <v>22</v>
      </c>
      <c r="F56" s="103"/>
      <c r="G56" s="103"/>
    </row>
    <row r="57" spans="1:7" ht="14">
      <c r="A57" s="100">
        <v>56</v>
      </c>
      <c r="B57" s="100">
        <v>23</v>
      </c>
      <c r="F57" s="103"/>
      <c r="G57" s="103"/>
    </row>
    <row r="58" spans="1:7" ht="14">
      <c r="A58" s="100">
        <v>57</v>
      </c>
      <c r="B58" s="100">
        <v>23</v>
      </c>
      <c r="F58" s="103"/>
      <c r="G58" s="103"/>
    </row>
    <row r="59" spans="1:7" ht="14">
      <c r="A59" s="100">
        <v>58</v>
      </c>
      <c r="B59" s="100">
        <v>24</v>
      </c>
      <c r="F59" s="103"/>
      <c r="G59" s="103"/>
    </row>
    <row r="60" spans="1:7" ht="14">
      <c r="A60" s="100">
        <v>59</v>
      </c>
      <c r="B60" s="100">
        <v>24</v>
      </c>
      <c r="F60" s="103"/>
      <c r="G60" s="103"/>
    </row>
    <row r="61" spans="1:7" ht="14">
      <c r="A61" s="100">
        <v>60</v>
      </c>
      <c r="B61" s="100">
        <v>25</v>
      </c>
      <c r="F61" s="103"/>
      <c r="G61" s="103"/>
    </row>
    <row r="62" spans="1:7" ht="14">
      <c r="A62" s="100">
        <v>61</v>
      </c>
      <c r="B62" s="100">
        <v>25</v>
      </c>
      <c r="F62" s="103"/>
      <c r="G62" s="103"/>
    </row>
    <row r="63" spans="1:7" ht="14">
      <c r="A63" s="100">
        <v>62</v>
      </c>
      <c r="B63" s="100">
        <v>26</v>
      </c>
      <c r="F63" s="103"/>
      <c r="G63" s="103"/>
    </row>
    <row r="64" spans="1:7" ht="14">
      <c r="A64" s="100">
        <v>63</v>
      </c>
      <c r="B64" s="100">
        <v>26</v>
      </c>
      <c r="F64" s="103"/>
      <c r="G64" s="103"/>
    </row>
    <row r="65" spans="1:7" ht="14">
      <c r="A65" s="100">
        <v>64</v>
      </c>
      <c r="B65" s="100">
        <v>27</v>
      </c>
      <c r="F65" s="103"/>
      <c r="G65" s="103"/>
    </row>
    <row r="66" spans="1:7" ht="14">
      <c r="A66" s="100">
        <v>65</v>
      </c>
      <c r="B66" s="100">
        <v>27</v>
      </c>
      <c r="F66" s="103"/>
      <c r="G66" s="103"/>
    </row>
    <row r="67" spans="1:7" ht="14">
      <c r="A67" s="100">
        <v>66</v>
      </c>
      <c r="B67" s="100">
        <v>28</v>
      </c>
      <c r="F67" s="103"/>
      <c r="G67" s="103"/>
    </row>
    <row r="68" spans="1:7" ht="14">
      <c r="A68" s="100">
        <v>67</v>
      </c>
      <c r="B68" s="100">
        <v>28</v>
      </c>
      <c r="F68" s="103"/>
      <c r="G68" s="103"/>
    </row>
    <row r="69" spans="1:7" ht="14">
      <c r="A69" s="100">
        <v>68</v>
      </c>
      <c r="B69" s="100">
        <v>29</v>
      </c>
      <c r="F69" s="103"/>
      <c r="G69" s="103"/>
    </row>
    <row r="70" spans="1:7" ht="14">
      <c r="A70" s="100">
        <v>69</v>
      </c>
      <c r="B70" s="100">
        <v>29</v>
      </c>
      <c r="F70" s="103"/>
      <c r="G70" s="103"/>
    </row>
    <row r="71" spans="1:7" ht="14">
      <c r="A71" s="100">
        <v>70</v>
      </c>
      <c r="B71" s="100">
        <v>30</v>
      </c>
      <c r="F71" s="103"/>
      <c r="G71" s="103"/>
    </row>
    <row r="72" spans="1:7" ht="14">
      <c r="A72" s="100">
        <v>71</v>
      </c>
      <c r="B72" s="100">
        <v>30</v>
      </c>
      <c r="F72" s="103"/>
      <c r="G72" s="103"/>
    </row>
    <row r="73" spans="1:7" ht="14">
      <c r="A73" s="100">
        <v>72</v>
      </c>
      <c r="B73" s="100">
        <v>31</v>
      </c>
      <c r="F73" s="103"/>
      <c r="G73" s="103"/>
    </row>
    <row r="74" spans="1:7" ht="14">
      <c r="A74" s="100">
        <v>73</v>
      </c>
      <c r="B74" s="100">
        <v>31</v>
      </c>
      <c r="F74" s="103"/>
      <c r="G74" s="103"/>
    </row>
    <row r="75" spans="1:7" ht="14">
      <c r="A75" s="100">
        <v>74</v>
      </c>
      <c r="B75" s="100">
        <v>32</v>
      </c>
      <c r="F75" s="103"/>
      <c r="G75" s="103"/>
    </row>
    <row r="76" spans="1:7" ht="14">
      <c r="A76" s="100">
        <v>75</v>
      </c>
      <c r="B76" s="100">
        <v>32</v>
      </c>
      <c r="F76" s="103"/>
      <c r="G76" s="103"/>
    </row>
    <row r="77" spans="1:7" ht="14">
      <c r="A77" s="100">
        <v>76</v>
      </c>
      <c r="B77" s="100">
        <v>33</v>
      </c>
      <c r="F77" s="103"/>
      <c r="G77" s="103"/>
    </row>
    <row r="78" spans="1:7" ht="14">
      <c r="A78" s="100">
        <v>77</v>
      </c>
      <c r="B78" s="100">
        <v>33</v>
      </c>
      <c r="F78" s="103"/>
      <c r="G78" s="103"/>
    </row>
    <row r="79" spans="1:7" ht="14">
      <c r="A79" s="100">
        <v>78</v>
      </c>
      <c r="B79" s="100">
        <v>34</v>
      </c>
      <c r="F79" s="103"/>
      <c r="G79" s="103"/>
    </row>
    <row r="80" spans="1:7" ht="14">
      <c r="A80" s="100">
        <v>79</v>
      </c>
      <c r="B80" s="100">
        <v>34</v>
      </c>
      <c r="F80" s="103"/>
      <c r="G80" s="103"/>
    </row>
    <row r="81" spans="1:7" ht="14">
      <c r="A81" s="100">
        <v>80</v>
      </c>
      <c r="B81" s="100">
        <v>35</v>
      </c>
      <c r="F81" s="103"/>
      <c r="G81" s="103"/>
    </row>
    <row r="82" spans="1:7" ht="14">
      <c r="A82" s="100">
        <v>81</v>
      </c>
      <c r="B82" s="100">
        <v>35</v>
      </c>
      <c r="F82" s="103"/>
      <c r="G82" s="103"/>
    </row>
    <row r="83" spans="1:7" ht="14">
      <c r="A83" s="100">
        <v>82</v>
      </c>
      <c r="B83" s="100">
        <v>36</v>
      </c>
      <c r="F83" s="103"/>
      <c r="G83" s="103"/>
    </row>
    <row r="84" spans="1:7" ht="14">
      <c r="A84" s="100">
        <v>83</v>
      </c>
      <c r="B84" s="100">
        <v>36</v>
      </c>
      <c r="F84" s="103"/>
      <c r="G84" s="103"/>
    </row>
    <row r="85" spans="1:7" ht="14">
      <c r="A85" s="100">
        <v>84</v>
      </c>
      <c r="B85" s="100">
        <v>37</v>
      </c>
      <c r="F85" s="103"/>
      <c r="G85" s="103"/>
    </row>
    <row r="86" spans="1:7" ht="14">
      <c r="A86" s="100">
        <v>85</v>
      </c>
      <c r="B86" s="100">
        <v>37</v>
      </c>
      <c r="F86" s="103"/>
      <c r="G86" s="103"/>
    </row>
    <row r="87" spans="1:7" ht="14">
      <c r="A87" s="100">
        <v>86</v>
      </c>
      <c r="B87" s="100">
        <v>38</v>
      </c>
      <c r="F87" s="103"/>
      <c r="G87" s="103"/>
    </row>
    <row r="88" spans="1:7" ht="14">
      <c r="A88" s="100">
        <v>87</v>
      </c>
      <c r="B88" s="100">
        <v>38</v>
      </c>
      <c r="F88" s="103"/>
      <c r="G88" s="103"/>
    </row>
    <row r="89" spans="1:7" ht="14">
      <c r="A89" s="100">
        <v>88</v>
      </c>
      <c r="B89" s="100">
        <v>39</v>
      </c>
      <c r="F89" s="103"/>
      <c r="G89" s="103"/>
    </row>
    <row r="90" spans="1:7" ht="14">
      <c r="A90" s="100">
        <v>89</v>
      </c>
      <c r="B90" s="100">
        <v>39</v>
      </c>
      <c r="F90" s="103"/>
      <c r="G90" s="103"/>
    </row>
    <row r="91" spans="1:7" ht="14">
      <c r="A91" s="100">
        <v>90</v>
      </c>
      <c r="B91" s="100">
        <v>40</v>
      </c>
      <c r="F91" s="103"/>
      <c r="G91" s="103"/>
    </row>
    <row r="92" spans="1:7" ht="14">
      <c r="A92" s="100">
        <v>91</v>
      </c>
      <c r="B92" s="100">
        <v>40</v>
      </c>
      <c r="F92" s="103"/>
      <c r="G92" s="103"/>
    </row>
    <row r="93" spans="1:7" ht="14">
      <c r="A93" s="100">
        <v>92</v>
      </c>
      <c r="B93" s="100">
        <v>41</v>
      </c>
      <c r="F93" s="103"/>
      <c r="G93" s="103"/>
    </row>
    <row r="94" spans="1:7" ht="14">
      <c r="A94" s="100">
        <v>93</v>
      </c>
      <c r="B94" s="100">
        <v>41</v>
      </c>
      <c r="F94" s="103"/>
      <c r="G94" s="103"/>
    </row>
    <row r="95" spans="1:7" ht="14">
      <c r="A95" s="100">
        <v>94</v>
      </c>
      <c r="B95" s="100">
        <v>42</v>
      </c>
      <c r="F95" s="103"/>
      <c r="G95" s="103"/>
    </row>
    <row r="96" spans="1:7" ht="14">
      <c r="A96" s="100">
        <v>95</v>
      </c>
      <c r="B96" s="100">
        <v>42</v>
      </c>
      <c r="F96" s="103"/>
      <c r="G96" s="103"/>
    </row>
    <row r="97" spans="1:7" ht="14">
      <c r="A97" s="100">
        <v>96</v>
      </c>
      <c r="B97" s="100">
        <v>43</v>
      </c>
      <c r="F97" s="103"/>
      <c r="G97" s="103"/>
    </row>
    <row r="98" spans="1:7" ht="14">
      <c r="A98" s="100">
        <v>97</v>
      </c>
      <c r="B98" s="100">
        <v>43</v>
      </c>
      <c r="F98" s="103"/>
      <c r="G98" s="103"/>
    </row>
    <row r="99" spans="1:7" ht="14">
      <c r="A99" s="100">
        <v>98</v>
      </c>
      <c r="B99" s="100">
        <v>44</v>
      </c>
      <c r="F99" s="103"/>
      <c r="G99" s="103"/>
    </row>
    <row r="100" spans="1:7" ht="14">
      <c r="A100" s="100">
        <v>99</v>
      </c>
      <c r="B100" s="100">
        <v>44</v>
      </c>
      <c r="F100" s="103"/>
      <c r="G100" s="103"/>
    </row>
    <row r="101" spans="1:7" ht="14">
      <c r="A101" s="100">
        <v>100</v>
      </c>
      <c r="B101" s="100">
        <v>45</v>
      </c>
      <c r="F101" s="103"/>
      <c r="G101" s="103"/>
    </row>
  </sheetData>
  <phoneticPr fontId="13"/>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474"/>
  <sheetViews>
    <sheetView workbookViewId="0"/>
  </sheetViews>
  <sheetFormatPr baseColWidth="10" defaultRowHeight="13"/>
  <cols>
    <col min="1" max="1" width="35.33203125" customWidth="1"/>
    <col min="2" max="2" width="19.5" customWidth="1"/>
  </cols>
  <sheetData>
    <row r="1" spans="1:10" ht="14">
      <c r="A1" s="106" t="s">
        <v>1208</v>
      </c>
      <c r="B1" s="107" t="s">
        <v>1799</v>
      </c>
      <c r="C1" s="96" t="s">
        <v>521</v>
      </c>
      <c r="D1" s="96"/>
      <c r="E1" s="96"/>
      <c r="F1" s="96"/>
      <c r="G1" s="96"/>
      <c r="H1" s="96" t="s">
        <v>1341</v>
      </c>
      <c r="J1" s="252"/>
    </row>
    <row r="2" spans="1:10" ht="14">
      <c r="A2" s="108" t="s">
        <v>1005</v>
      </c>
      <c r="B2" s="109" t="s">
        <v>1632</v>
      </c>
      <c r="C2" t="s">
        <v>1667</v>
      </c>
      <c r="G2" s="252"/>
      <c r="H2" s="254" t="s">
        <v>751</v>
      </c>
    </row>
    <row r="3" spans="1:10" ht="14">
      <c r="A3" s="108" t="s">
        <v>1933</v>
      </c>
      <c r="B3" s="109" t="s">
        <v>1922</v>
      </c>
      <c r="C3" t="s">
        <v>1906</v>
      </c>
      <c r="H3" s="254" t="s">
        <v>821</v>
      </c>
    </row>
    <row r="4" spans="1:10" ht="14">
      <c r="A4" s="108" t="s">
        <v>1899</v>
      </c>
      <c r="B4" s="109" t="s">
        <v>1632</v>
      </c>
      <c r="C4" t="s">
        <v>1668</v>
      </c>
      <c r="H4" s="254" t="s">
        <v>1863</v>
      </c>
    </row>
    <row r="5" spans="1:10" ht="14">
      <c r="A5" s="108" t="s">
        <v>1710</v>
      </c>
      <c r="B5" s="109" t="s">
        <v>1833</v>
      </c>
      <c r="C5" t="s">
        <v>740</v>
      </c>
      <c r="H5" s="254" t="s">
        <v>970</v>
      </c>
    </row>
    <row r="6" spans="1:10" ht="14">
      <c r="A6" s="108" t="s">
        <v>857</v>
      </c>
      <c r="B6" s="109" t="s">
        <v>1180</v>
      </c>
      <c r="C6" t="s">
        <v>1265</v>
      </c>
      <c r="H6" s="254" t="s">
        <v>740</v>
      </c>
    </row>
    <row r="7" spans="1:10" ht="14">
      <c r="A7" s="108" t="s">
        <v>702</v>
      </c>
      <c r="B7" s="109" t="s">
        <v>1548</v>
      </c>
      <c r="C7" t="s">
        <v>610</v>
      </c>
      <c r="H7" s="254" t="s">
        <v>555</v>
      </c>
      <c r="J7" s="252"/>
    </row>
    <row r="8" spans="1:10" ht="14">
      <c r="A8" s="108" t="s">
        <v>75</v>
      </c>
      <c r="B8" s="109" t="s">
        <v>52</v>
      </c>
      <c r="C8" t="s">
        <v>770</v>
      </c>
      <c r="H8" s="254" t="s">
        <v>1053</v>
      </c>
    </row>
    <row r="9" spans="1:10" ht="14">
      <c r="A9" s="108" t="s">
        <v>1340</v>
      </c>
      <c r="B9" s="168" t="s">
        <v>1833</v>
      </c>
      <c r="C9" t="s">
        <v>1310</v>
      </c>
      <c r="H9" s="254" t="s">
        <v>574</v>
      </c>
    </row>
    <row r="10" spans="1:10" ht="14">
      <c r="A10" s="108" t="s">
        <v>1308</v>
      </c>
      <c r="B10" s="109" t="s">
        <v>418</v>
      </c>
      <c r="C10" t="s">
        <v>1733</v>
      </c>
      <c r="H10" s="254" t="s">
        <v>1861</v>
      </c>
    </row>
    <row r="11" spans="1:10" ht="14">
      <c r="A11" s="108" t="s">
        <v>1557</v>
      </c>
      <c r="B11" s="109" t="s">
        <v>1587</v>
      </c>
      <c r="C11" t="s">
        <v>1907</v>
      </c>
      <c r="H11" s="254" t="s">
        <v>863</v>
      </c>
    </row>
    <row r="12" spans="1:10" ht="14">
      <c r="A12" s="108" t="s">
        <v>1176</v>
      </c>
      <c r="B12" s="109" t="s">
        <v>1833</v>
      </c>
      <c r="C12" t="s">
        <v>1566</v>
      </c>
      <c r="H12" s="254" t="s">
        <v>871</v>
      </c>
    </row>
    <row r="13" spans="1:10" ht="14">
      <c r="A13" s="108" t="s">
        <v>794</v>
      </c>
      <c r="B13" s="109" t="s">
        <v>418</v>
      </c>
      <c r="C13" t="s">
        <v>1733</v>
      </c>
      <c r="H13" s="96" t="s">
        <v>1166</v>
      </c>
    </row>
    <row r="14" spans="1:10" ht="14">
      <c r="A14" s="108" t="s">
        <v>816</v>
      </c>
      <c r="B14" s="109" t="s">
        <v>1548</v>
      </c>
      <c r="C14" t="s">
        <v>1735</v>
      </c>
      <c r="H14" s="254" t="s">
        <v>1167</v>
      </c>
    </row>
    <row r="15" spans="1:10" ht="14">
      <c r="A15" s="108" t="s">
        <v>35</v>
      </c>
      <c r="B15" s="109" t="s">
        <v>1922</v>
      </c>
      <c r="C15" t="s">
        <v>770</v>
      </c>
      <c r="H15" s="254" t="s">
        <v>591</v>
      </c>
    </row>
    <row r="16" spans="1:10" ht="14">
      <c r="A16" s="108" t="s">
        <v>1389</v>
      </c>
      <c r="B16" s="109" t="s">
        <v>1632</v>
      </c>
      <c r="C16" t="s">
        <v>991</v>
      </c>
      <c r="H16" s="254" t="s">
        <v>572</v>
      </c>
    </row>
    <row r="17" spans="1:10" ht="14">
      <c r="A17" s="108" t="s">
        <v>1586</v>
      </c>
      <c r="B17" s="109" t="s">
        <v>1632</v>
      </c>
      <c r="C17" t="s">
        <v>991</v>
      </c>
      <c r="H17" s="254" t="s">
        <v>650</v>
      </c>
    </row>
    <row r="18" spans="1:10" ht="14">
      <c r="A18" s="108" t="s">
        <v>1405</v>
      </c>
      <c r="B18" s="109" t="s">
        <v>1632</v>
      </c>
      <c r="C18" t="s">
        <v>991</v>
      </c>
      <c r="H18" s="254" t="s">
        <v>860</v>
      </c>
      <c r="J18" s="252"/>
    </row>
    <row r="19" spans="1:10" ht="14">
      <c r="A19" s="108" t="s">
        <v>858</v>
      </c>
      <c r="B19" s="109" t="s">
        <v>1922</v>
      </c>
      <c r="C19" t="s">
        <v>991</v>
      </c>
      <c r="H19" s="254" t="s">
        <v>524</v>
      </c>
    </row>
    <row r="20" spans="1:10" ht="14">
      <c r="A20" s="108" t="s">
        <v>1043</v>
      </c>
      <c r="B20" s="109" t="s">
        <v>1632</v>
      </c>
      <c r="C20" t="s">
        <v>991</v>
      </c>
      <c r="H20" s="254" t="s">
        <v>1055</v>
      </c>
    </row>
    <row r="21" spans="1:10" ht="14">
      <c r="A21" s="108" t="s">
        <v>1571</v>
      </c>
      <c r="B21" s="109" t="s">
        <v>1180</v>
      </c>
      <c r="C21" t="s">
        <v>991</v>
      </c>
      <c r="H21" s="96" t="s">
        <v>507</v>
      </c>
    </row>
    <row r="22" spans="1:10" ht="14">
      <c r="A22" s="108" t="s">
        <v>705</v>
      </c>
      <c r="B22" s="109" t="s">
        <v>1632</v>
      </c>
      <c r="C22" t="s">
        <v>1269</v>
      </c>
      <c r="H22" s="254" t="s">
        <v>960</v>
      </c>
    </row>
    <row r="23" spans="1:10" ht="14">
      <c r="A23" s="108" t="s">
        <v>1963</v>
      </c>
      <c r="B23" s="109" t="s">
        <v>1833</v>
      </c>
      <c r="C23" t="s">
        <v>796</v>
      </c>
      <c r="H23" s="254" t="s">
        <v>502</v>
      </c>
    </row>
    <row r="24" spans="1:10" ht="14">
      <c r="A24" s="108" t="s">
        <v>1773</v>
      </c>
      <c r="B24" s="109" t="s">
        <v>1833</v>
      </c>
      <c r="C24" t="s">
        <v>737</v>
      </c>
      <c r="H24" s="254" t="s">
        <v>701</v>
      </c>
    </row>
    <row r="25" spans="1:10" ht="14">
      <c r="A25" s="108" t="s">
        <v>637</v>
      </c>
      <c r="B25" s="109" t="s">
        <v>1833</v>
      </c>
      <c r="C25" t="s">
        <v>1090</v>
      </c>
      <c r="H25" s="254" t="s">
        <v>660</v>
      </c>
    </row>
    <row r="26" spans="1:10" ht="14">
      <c r="A26" s="108" t="s">
        <v>641</v>
      </c>
      <c r="B26" s="109" t="s">
        <v>418</v>
      </c>
      <c r="C26" t="s">
        <v>1240</v>
      </c>
      <c r="H26" s="254" t="s">
        <v>678</v>
      </c>
    </row>
    <row r="27" spans="1:10" ht="14">
      <c r="A27" s="108" t="s">
        <v>667</v>
      </c>
      <c r="B27" s="109" t="s">
        <v>1548</v>
      </c>
      <c r="C27" t="s">
        <v>1735</v>
      </c>
      <c r="H27" s="254" t="s">
        <v>679</v>
      </c>
    </row>
    <row r="28" spans="1:10" ht="14">
      <c r="A28" s="108" t="s">
        <v>795</v>
      </c>
      <c r="B28" s="109" t="s">
        <v>418</v>
      </c>
      <c r="C28" t="s">
        <v>1733</v>
      </c>
      <c r="H28" s="254" t="s">
        <v>686</v>
      </c>
    </row>
    <row r="29" spans="1:10" ht="14">
      <c r="A29" s="108" t="s">
        <v>1780</v>
      </c>
      <c r="B29" s="109" t="s">
        <v>1062</v>
      </c>
      <c r="C29" t="s">
        <v>1315</v>
      </c>
      <c r="H29" s="254" t="s">
        <v>687</v>
      </c>
    </row>
    <row r="30" spans="1:10" ht="14">
      <c r="A30" s="108" t="s">
        <v>920</v>
      </c>
      <c r="B30" s="109" t="s">
        <v>418</v>
      </c>
      <c r="C30" t="s">
        <v>1733</v>
      </c>
      <c r="H30" s="254" t="s">
        <v>704</v>
      </c>
    </row>
    <row r="31" spans="1:10" ht="14">
      <c r="A31" s="108" t="s">
        <v>1450</v>
      </c>
      <c r="B31" s="109" t="s">
        <v>1833</v>
      </c>
      <c r="C31" t="s">
        <v>973</v>
      </c>
      <c r="H31" s="254" t="s">
        <v>814</v>
      </c>
    </row>
    <row r="32" spans="1:10" ht="14">
      <c r="A32" s="108" t="s">
        <v>1451</v>
      </c>
      <c r="B32" s="109" t="s">
        <v>1922</v>
      </c>
      <c r="C32" t="s">
        <v>532</v>
      </c>
      <c r="H32" s="254" t="s">
        <v>897</v>
      </c>
    </row>
    <row r="33" spans="1:16" ht="14">
      <c r="A33" s="108" t="s">
        <v>1382</v>
      </c>
      <c r="B33" s="109" t="s">
        <v>1833</v>
      </c>
      <c r="C33" t="s">
        <v>676</v>
      </c>
      <c r="H33" s="254" t="s">
        <v>488</v>
      </c>
      <c r="P33" s="252"/>
    </row>
    <row r="34" spans="1:16" ht="14">
      <c r="A34" s="108" t="s">
        <v>1272</v>
      </c>
      <c r="B34" s="109" t="s">
        <v>1833</v>
      </c>
      <c r="C34" t="s">
        <v>1311</v>
      </c>
      <c r="H34" s="254" t="s">
        <v>536</v>
      </c>
      <c r="P34" s="252"/>
    </row>
    <row r="35" spans="1:16" ht="14">
      <c r="A35" s="108" t="s">
        <v>1042</v>
      </c>
      <c r="B35" s="109" t="s">
        <v>418</v>
      </c>
      <c r="C35" t="s">
        <v>860</v>
      </c>
      <c r="H35" s="254" t="s">
        <v>696</v>
      </c>
    </row>
    <row r="36" spans="1:16" ht="14">
      <c r="A36" s="108" t="s">
        <v>675</v>
      </c>
      <c r="B36" s="109" t="s">
        <v>418</v>
      </c>
      <c r="C36" t="s">
        <v>992</v>
      </c>
      <c r="H36" s="254" t="s">
        <v>852</v>
      </c>
    </row>
    <row r="37" spans="1:16" ht="14">
      <c r="A37" s="108" t="s">
        <v>1638</v>
      </c>
      <c r="B37" s="109" t="s">
        <v>1833</v>
      </c>
      <c r="C37" t="s">
        <v>725</v>
      </c>
      <c r="H37" s="254" t="s">
        <v>1351</v>
      </c>
    </row>
    <row r="38" spans="1:16" ht="14">
      <c r="A38" s="108" t="s">
        <v>552</v>
      </c>
      <c r="B38" s="109" t="s">
        <v>1180</v>
      </c>
      <c r="C38" t="s">
        <v>725</v>
      </c>
      <c r="H38" s="254" t="s">
        <v>981</v>
      </c>
    </row>
    <row r="39" spans="1:16" ht="14">
      <c r="A39" s="108" t="s">
        <v>1976</v>
      </c>
      <c r="B39" s="109" t="s">
        <v>1180</v>
      </c>
      <c r="C39" t="s">
        <v>725</v>
      </c>
      <c r="H39" s="254" t="s">
        <v>1231</v>
      </c>
    </row>
    <row r="40" spans="1:16" ht="14">
      <c r="A40" s="108" t="s">
        <v>1775</v>
      </c>
      <c r="B40" s="109" t="s">
        <v>418</v>
      </c>
      <c r="C40" t="s">
        <v>1551</v>
      </c>
      <c r="H40" s="254" t="s">
        <v>1232</v>
      </c>
    </row>
    <row r="41" spans="1:16" ht="14">
      <c r="A41" s="108" t="s">
        <v>1681</v>
      </c>
      <c r="B41" s="109" t="s">
        <v>1833</v>
      </c>
      <c r="C41" t="s">
        <v>721</v>
      </c>
      <c r="H41" s="254" t="s">
        <v>1350</v>
      </c>
    </row>
    <row r="42" spans="1:16" ht="14">
      <c r="A42" s="108" t="s">
        <v>1191</v>
      </c>
      <c r="B42" s="109" t="s">
        <v>1833</v>
      </c>
      <c r="C42" t="s">
        <v>1905</v>
      </c>
    </row>
    <row r="43" spans="1:16" ht="14">
      <c r="A43" s="108" t="s">
        <v>1431</v>
      </c>
      <c r="B43" s="109" t="s">
        <v>1833</v>
      </c>
      <c r="C43" t="s">
        <v>760</v>
      </c>
    </row>
    <row r="44" spans="1:16" ht="14">
      <c r="A44" s="108" t="s">
        <v>670</v>
      </c>
      <c r="B44" s="109" t="s">
        <v>1481</v>
      </c>
      <c r="C44" t="s">
        <v>642</v>
      </c>
    </row>
    <row r="45" spans="1:16" ht="14">
      <c r="A45" s="255" t="s">
        <v>533</v>
      </c>
      <c r="B45" s="109" t="s">
        <v>1922</v>
      </c>
      <c r="C45" t="s">
        <v>532</v>
      </c>
    </row>
    <row r="46" spans="1:16" ht="14">
      <c r="A46" s="108" t="s">
        <v>1432</v>
      </c>
      <c r="B46" s="109" t="s">
        <v>1587</v>
      </c>
      <c r="C46" t="s">
        <v>1907</v>
      </c>
    </row>
    <row r="47" spans="1:16" ht="14">
      <c r="A47" s="108" t="s">
        <v>668</v>
      </c>
      <c r="B47" s="109" t="s">
        <v>1548</v>
      </c>
      <c r="C47" t="s">
        <v>1735</v>
      </c>
    </row>
    <row r="48" spans="1:16" ht="14">
      <c r="A48" s="108" t="s">
        <v>1038</v>
      </c>
      <c r="B48" s="109" t="s">
        <v>1632</v>
      </c>
      <c r="C48" t="s">
        <v>690</v>
      </c>
    </row>
    <row r="49" spans="1:12" ht="14">
      <c r="A49" s="108" t="s">
        <v>1016</v>
      </c>
      <c r="B49" s="109" t="s">
        <v>1632</v>
      </c>
      <c r="C49" t="s">
        <v>690</v>
      </c>
    </row>
    <row r="50" spans="1:12" ht="14">
      <c r="A50" s="108" t="s">
        <v>1923</v>
      </c>
      <c r="B50" s="109" t="s">
        <v>1922</v>
      </c>
      <c r="C50" t="s">
        <v>1552</v>
      </c>
    </row>
    <row r="51" spans="1:12" ht="14">
      <c r="A51" s="108" t="s">
        <v>1945</v>
      </c>
      <c r="B51" s="109" t="s">
        <v>1922</v>
      </c>
      <c r="C51" t="s">
        <v>1607</v>
      </c>
    </row>
    <row r="52" spans="1:12" ht="14">
      <c r="A52" s="108" t="s">
        <v>827</v>
      </c>
      <c r="B52" s="109" t="s">
        <v>1922</v>
      </c>
      <c r="C52" t="s">
        <v>1552</v>
      </c>
    </row>
    <row r="53" spans="1:12" ht="14">
      <c r="A53" s="108" t="s">
        <v>828</v>
      </c>
      <c r="B53" s="109" t="s">
        <v>1833</v>
      </c>
      <c r="C53" t="s">
        <v>726</v>
      </c>
    </row>
    <row r="54" spans="1:12" ht="14">
      <c r="A54" s="108" t="s">
        <v>923</v>
      </c>
      <c r="B54" s="109" t="s">
        <v>1548</v>
      </c>
      <c r="C54" t="s">
        <v>1735</v>
      </c>
      <c r="J54" s="252"/>
    </row>
    <row r="55" spans="1:12" ht="14">
      <c r="A55" s="108" t="s">
        <v>649</v>
      </c>
      <c r="B55" s="109" t="s">
        <v>1833</v>
      </c>
      <c r="C55" t="s">
        <v>992</v>
      </c>
      <c r="J55" s="252"/>
    </row>
    <row r="56" spans="1:12" ht="14">
      <c r="A56" s="108" t="s">
        <v>1615</v>
      </c>
      <c r="B56" s="109" t="s">
        <v>1833</v>
      </c>
      <c r="C56" t="s">
        <v>759</v>
      </c>
    </row>
    <row r="57" spans="1:12" ht="14">
      <c r="A57" s="108" t="s">
        <v>969</v>
      </c>
      <c r="B57" s="109" t="s">
        <v>1833</v>
      </c>
      <c r="C57" t="s">
        <v>759</v>
      </c>
    </row>
    <row r="58" spans="1:12" ht="14">
      <c r="A58" s="108" t="s">
        <v>1238</v>
      </c>
      <c r="B58" s="109" t="s">
        <v>418</v>
      </c>
      <c r="C58" t="s">
        <v>860</v>
      </c>
    </row>
    <row r="59" spans="1:12" ht="14">
      <c r="A59" s="108" t="s">
        <v>1305</v>
      </c>
      <c r="B59" s="109" t="s">
        <v>1833</v>
      </c>
      <c r="C59" t="s">
        <v>516</v>
      </c>
    </row>
    <row r="60" spans="1:12" ht="14">
      <c r="A60" s="108" t="s">
        <v>1119</v>
      </c>
      <c r="B60" s="109" t="s">
        <v>1922</v>
      </c>
      <c r="C60" t="s">
        <v>532</v>
      </c>
      <c r="L60" s="252"/>
    </row>
    <row r="61" spans="1:12" ht="14">
      <c r="A61" s="108" t="s">
        <v>1745</v>
      </c>
      <c r="B61" s="109" t="s">
        <v>1632</v>
      </c>
      <c r="C61" t="s">
        <v>690</v>
      </c>
    </row>
    <row r="62" spans="1:12" ht="14">
      <c r="A62" s="108" t="s">
        <v>1898</v>
      </c>
      <c r="B62" s="109" t="s">
        <v>1922</v>
      </c>
      <c r="C62" t="s">
        <v>532</v>
      </c>
    </row>
    <row r="63" spans="1:12" ht="14">
      <c r="A63" s="108" t="s">
        <v>833</v>
      </c>
      <c r="B63" s="109" t="s">
        <v>1922</v>
      </c>
      <c r="C63" t="s">
        <v>532</v>
      </c>
    </row>
    <row r="64" spans="1:12" ht="14">
      <c r="A64" s="108" t="s">
        <v>792</v>
      </c>
      <c r="B64" s="109" t="s">
        <v>1833</v>
      </c>
      <c r="C64" t="s">
        <v>759</v>
      </c>
    </row>
    <row r="65" spans="1:12" ht="14">
      <c r="A65" s="108" t="s">
        <v>483</v>
      </c>
      <c r="B65" s="109" t="s">
        <v>418</v>
      </c>
      <c r="C65" t="s">
        <v>860</v>
      </c>
    </row>
    <row r="66" spans="1:12" ht="14">
      <c r="A66" s="108" t="s">
        <v>1362</v>
      </c>
      <c r="B66" s="109" t="s">
        <v>1922</v>
      </c>
      <c r="C66" t="s">
        <v>1274</v>
      </c>
    </row>
    <row r="67" spans="1:12" ht="14">
      <c r="A67" s="108" t="s">
        <v>1134</v>
      </c>
      <c r="B67" s="109" t="s">
        <v>476</v>
      </c>
      <c r="C67" t="s">
        <v>1274</v>
      </c>
    </row>
    <row r="68" spans="1:12" ht="14">
      <c r="A68" s="108" t="s">
        <v>1103</v>
      </c>
      <c r="B68" s="109" t="s">
        <v>1833</v>
      </c>
      <c r="C68" t="s">
        <v>726</v>
      </c>
    </row>
    <row r="69" spans="1:12" ht="14">
      <c r="A69" s="108" t="s">
        <v>656</v>
      </c>
      <c r="B69" s="109" t="s">
        <v>1632</v>
      </c>
      <c r="C69" t="s">
        <v>690</v>
      </c>
    </row>
    <row r="70" spans="1:12" ht="14">
      <c r="A70" s="108" t="s">
        <v>1262</v>
      </c>
      <c r="B70" s="109" t="s">
        <v>1833</v>
      </c>
      <c r="C70" t="s">
        <v>613</v>
      </c>
    </row>
    <row r="71" spans="1:12" ht="14">
      <c r="A71" s="108" t="s">
        <v>1513</v>
      </c>
      <c r="B71" s="109" t="s">
        <v>1833</v>
      </c>
      <c r="C71" t="s">
        <v>613</v>
      </c>
    </row>
    <row r="72" spans="1:12" ht="14">
      <c r="A72" s="108" t="s">
        <v>671</v>
      </c>
      <c r="B72" s="109" t="s">
        <v>1833</v>
      </c>
      <c r="C72" t="s">
        <v>613</v>
      </c>
    </row>
    <row r="73" spans="1:12" ht="14">
      <c r="A73" s="108" t="s">
        <v>1006</v>
      </c>
      <c r="B73" s="109" t="s">
        <v>1180</v>
      </c>
      <c r="C73" t="s">
        <v>1852</v>
      </c>
      <c r="J73" s="252"/>
      <c r="L73" s="252"/>
    </row>
    <row r="74" spans="1:12" ht="14">
      <c r="A74" s="108" t="s">
        <v>654</v>
      </c>
      <c r="B74" s="109" t="s">
        <v>1632</v>
      </c>
      <c r="C74" t="s">
        <v>690</v>
      </c>
    </row>
    <row r="75" spans="1:12" ht="14">
      <c r="A75" s="108" t="s">
        <v>1101</v>
      </c>
      <c r="B75" s="109" t="s">
        <v>418</v>
      </c>
      <c r="C75" t="s">
        <v>860</v>
      </c>
    </row>
    <row r="76" spans="1:12" ht="14">
      <c r="A76" s="108" t="s">
        <v>787</v>
      </c>
      <c r="B76" s="109" t="s">
        <v>1833</v>
      </c>
      <c r="C76" t="s">
        <v>1667</v>
      </c>
      <c r="G76" s="252"/>
    </row>
    <row r="77" spans="1:12" ht="14">
      <c r="A77" s="108" t="s">
        <v>788</v>
      </c>
      <c r="B77" s="109" t="s">
        <v>1922</v>
      </c>
      <c r="C77" t="s">
        <v>722</v>
      </c>
    </row>
    <row r="78" spans="1:12" ht="14">
      <c r="A78" s="108" t="s">
        <v>1678</v>
      </c>
      <c r="B78" s="109" t="s">
        <v>1062</v>
      </c>
      <c r="C78" t="s">
        <v>2011</v>
      </c>
    </row>
    <row r="79" spans="1:12" ht="14">
      <c r="A79" s="108" t="s">
        <v>1049</v>
      </c>
      <c r="B79" s="109" t="s">
        <v>1922</v>
      </c>
      <c r="C79" t="s">
        <v>1552</v>
      </c>
    </row>
    <row r="80" spans="1:12" ht="14">
      <c r="A80" s="108" t="s">
        <v>554</v>
      </c>
      <c r="B80" s="109" t="s">
        <v>598</v>
      </c>
      <c r="C80" t="s">
        <v>873</v>
      </c>
    </row>
    <row r="81" spans="1:3" ht="14">
      <c r="A81" s="108" t="s">
        <v>1813</v>
      </c>
      <c r="B81" s="109" t="s">
        <v>476</v>
      </c>
      <c r="C81" t="s">
        <v>1906</v>
      </c>
    </row>
    <row r="82" spans="1:3" ht="14">
      <c r="A82" s="108" t="s">
        <v>1493</v>
      </c>
      <c r="B82" s="109" t="s">
        <v>1922</v>
      </c>
      <c r="C82" t="s">
        <v>1552</v>
      </c>
    </row>
    <row r="83" spans="1:3" ht="14">
      <c r="A83" s="108" t="s">
        <v>1694</v>
      </c>
      <c r="B83" s="109" t="s">
        <v>1833</v>
      </c>
      <c r="C83" t="s">
        <v>1607</v>
      </c>
    </row>
    <row r="84" spans="1:3" ht="14">
      <c r="A84" s="108" t="s">
        <v>1695</v>
      </c>
      <c r="B84" s="109" t="s">
        <v>418</v>
      </c>
      <c r="C84" t="s">
        <v>1607</v>
      </c>
    </row>
    <row r="85" spans="1:3" ht="14">
      <c r="A85" s="108" t="s">
        <v>1890</v>
      </c>
      <c r="B85" s="109" t="s">
        <v>418</v>
      </c>
      <c r="C85" t="s">
        <v>1607</v>
      </c>
    </row>
    <row r="86" spans="1:3" ht="14">
      <c r="A86" s="108" t="s">
        <v>1880</v>
      </c>
      <c r="B86" s="109" t="s">
        <v>1833</v>
      </c>
      <c r="C86" t="s">
        <v>1607</v>
      </c>
    </row>
    <row r="87" spans="1:3" ht="14">
      <c r="A87" s="108" t="s">
        <v>1889</v>
      </c>
      <c r="B87" s="109" t="s">
        <v>1632</v>
      </c>
      <c r="C87" t="s">
        <v>690</v>
      </c>
    </row>
    <row r="88" spans="1:3" ht="14">
      <c r="A88" s="108" t="s">
        <v>1700</v>
      </c>
      <c r="B88" s="109" t="s">
        <v>1833</v>
      </c>
      <c r="C88" t="s">
        <v>613</v>
      </c>
    </row>
    <row r="89" spans="1:3" ht="14">
      <c r="A89" s="108" t="s">
        <v>1318</v>
      </c>
      <c r="B89" s="109" t="s">
        <v>1833</v>
      </c>
      <c r="C89" t="s">
        <v>877</v>
      </c>
    </row>
    <row r="90" spans="1:3" ht="14">
      <c r="A90" s="108" t="s">
        <v>1222</v>
      </c>
      <c r="B90" s="109" t="s">
        <v>598</v>
      </c>
      <c r="C90" t="s">
        <v>1223</v>
      </c>
    </row>
    <row r="91" spans="1:3" ht="14">
      <c r="A91" s="108" t="s">
        <v>1771</v>
      </c>
      <c r="B91" s="109" t="s">
        <v>1772</v>
      </c>
      <c r="C91" t="s">
        <v>1561</v>
      </c>
    </row>
    <row r="92" spans="1:3" ht="14">
      <c r="A92" s="108" t="s">
        <v>1949</v>
      </c>
      <c r="B92" s="109" t="s">
        <v>1833</v>
      </c>
      <c r="C92" t="s">
        <v>1237</v>
      </c>
    </row>
    <row r="93" spans="1:3" ht="14">
      <c r="A93" s="108" t="s">
        <v>1509</v>
      </c>
      <c r="B93" s="109" t="s">
        <v>1833</v>
      </c>
      <c r="C93" t="s">
        <v>1237</v>
      </c>
    </row>
    <row r="94" spans="1:3" ht="14">
      <c r="A94" s="108" t="s">
        <v>1289</v>
      </c>
      <c r="B94" s="168" t="s">
        <v>418</v>
      </c>
      <c r="C94" t="s">
        <v>1237</v>
      </c>
    </row>
    <row r="95" spans="1:3" ht="14">
      <c r="A95" s="108" t="s">
        <v>735</v>
      </c>
      <c r="B95" s="109" t="s">
        <v>598</v>
      </c>
      <c r="C95" t="s">
        <v>1237</v>
      </c>
    </row>
    <row r="96" spans="1:3" ht="14">
      <c r="A96" s="108" t="s">
        <v>1691</v>
      </c>
      <c r="B96" s="109" t="s">
        <v>1180</v>
      </c>
      <c r="C96" t="s">
        <v>1852</v>
      </c>
    </row>
    <row r="97" spans="1:7" ht="14">
      <c r="A97" s="108" t="s">
        <v>1116</v>
      </c>
      <c r="B97" s="109" t="s">
        <v>1180</v>
      </c>
      <c r="C97" t="s">
        <v>1852</v>
      </c>
    </row>
    <row r="98" spans="1:7" ht="14">
      <c r="A98" s="108" t="s">
        <v>1657</v>
      </c>
      <c r="B98" s="109" t="s">
        <v>1062</v>
      </c>
      <c r="C98" t="s">
        <v>2011</v>
      </c>
    </row>
    <row r="99" spans="1:7" ht="14">
      <c r="A99" s="108" t="s">
        <v>1107</v>
      </c>
      <c r="B99" s="109" t="s">
        <v>1108</v>
      </c>
      <c r="C99" t="s">
        <v>1906</v>
      </c>
    </row>
    <row r="100" spans="1:7" ht="14">
      <c r="A100" s="108" t="s">
        <v>1510</v>
      </c>
      <c r="B100" s="109" t="s">
        <v>1632</v>
      </c>
      <c r="C100" t="s">
        <v>690</v>
      </c>
    </row>
    <row r="101" spans="1:7" ht="14">
      <c r="A101" s="108" t="s">
        <v>1511</v>
      </c>
      <c r="B101" s="168" t="s">
        <v>1180</v>
      </c>
      <c r="C101" t="s">
        <v>860</v>
      </c>
      <c r="G101" s="252"/>
    </row>
    <row r="102" spans="1:7" ht="14">
      <c r="A102" s="108" t="s">
        <v>1746</v>
      </c>
      <c r="B102" s="109" t="s">
        <v>1632</v>
      </c>
      <c r="C102" t="s">
        <v>690</v>
      </c>
    </row>
    <row r="103" spans="1:7" ht="14">
      <c r="A103" s="108" t="s">
        <v>1276</v>
      </c>
      <c r="B103" s="168" t="s">
        <v>1833</v>
      </c>
      <c r="C103" t="s">
        <v>725</v>
      </c>
    </row>
    <row r="104" spans="1:7" ht="14">
      <c r="A104" s="108" t="s">
        <v>1809</v>
      </c>
      <c r="B104" s="109" t="s">
        <v>1587</v>
      </c>
      <c r="C104" t="s">
        <v>1907</v>
      </c>
    </row>
    <row r="105" spans="1:7" ht="14">
      <c r="A105" s="108" t="s">
        <v>1339</v>
      </c>
      <c r="B105" s="109" t="s">
        <v>1180</v>
      </c>
      <c r="C105" t="s">
        <v>594</v>
      </c>
    </row>
    <row r="106" spans="1:7" ht="14">
      <c r="A106" s="108" t="s">
        <v>1556</v>
      </c>
      <c r="B106" s="109" t="s">
        <v>418</v>
      </c>
      <c r="C106" t="s">
        <v>1733</v>
      </c>
    </row>
    <row r="107" spans="1:7" ht="14">
      <c r="A107" s="108" t="s">
        <v>1904</v>
      </c>
      <c r="B107" s="109" t="s">
        <v>1833</v>
      </c>
      <c r="C107" t="s">
        <v>992</v>
      </c>
    </row>
    <row r="108" spans="1:7" ht="14">
      <c r="A108" s="108" t="s">
        <v>2020</v>
      </c>
      <c r="B108" s="109" t="s">
        <v>1180</v>
      </c>
      <c r="C108" t="s">
        <v>1667</v>
      </c>
    </row>
    <row r="109" spans="1:7" ht="14">
      <c r="A109" s="108" t="s">
        <v>1690</v>
      </c>
      <c r="B109" s="109" t="s">
        <v>1632</v>
      </c>
      <c r="C109" t="s">
        <v>690</v>
      </c>
    </row>
    <row r="110" spans="1:7" ht="14">
      <c r="A110" s="108" t="s">
        <v>2016</v>
      </c>
      <c r="B110" s="168" t="s">
        <v>418</v>
      </c>
      <c r="C110" t="s">
        <v>532</v>
      </c>
    </row>
    <row r="111" spans="1:7" ht="14">
      <c r="A111" s="108" t="s">
        <v>1173</v>
      </c>
      <c r="B111" s="109" t="s">
        <v>1833</v>
      </c>
      <c r="C111" t="s">
        <v>720</v>
      </c>
    </row>
    <row r="112" spans="1:7" ht="14">
      <c r="A112" s="108" t="s">
        <v>1172</v>
      </c>
      <c r="B112" s="109" t="s">
        <v>1833</v>
      </c>
      <c r="C112" t="s">
        <v>1667</v>
      </c>
    </row>
    <row r="113" spans="1:3" ht="14">
      <c r="A113" s="108" t="s">
        <v>2055</v>
      </c>
      <c r="B113" s="168" t="s">
        <v>1180</v>
      </c>
      <c r="C113" t="s">
        <v>1667</v>
      </c>
    </row>
    <row r="114" spans="1:3" ht="14">
      <c r="A114" s="108" t="s">
        <v>1887</v>
      </c>
      <c r="B114" s="168" t="s">
        <v>1180</v>
      </c>
      <c r="C114" t="s">
        <v>1667</v>
      </c>
    </row>
    <row r="115" spans="1:3" ht="14">
      <c r="A115" s="108" t="s">
        <v>1520</v>
      </c>
      <c r="B115" s="109" t="s">
        <v>1922</v>
      </c>
      <c r="C115" t="s">
        <v>1552</v>
      </c>
    </row>
    <row r="116" spans="1:3" ht="14">
      <c r="A116" s="108" t="s">
        <v>716</v>
      </c>
      <c r="B116" s="109" t="s">
        <v>1922</v>
      </c>
      <c r="C116" t="s">
        <v>1552</v>
      </c>
    </row>
    <row r="117" spans="1:3" ht="14">
      <c r="A117" s="108" t="s">
        <v>1541</v>
      </c>
      <c r="B117" s="109" t="s">
        <v>418</v>
      </c>
      <c r="C117" t="s">
        <v>992</v>
      </c>
    </row>
    <row r="118" spans="1:3" ht="14">
      <c r="A118" s="108" t="s">
        <v>1542</v>
      </c>
      <c r="B118" s="109" t="s">
        <v>1833</v>
      </c>
      <c r="C118" t="s">
        <v>736</v>
      </c>
    </row>
    <row r="119" spans="1:3" ht="14">
      <c r="A119" s="108" t="s">
        <v>2042</v>
      </c>
      <c r="B119" s="109" t="s">
        <v>1922</v>
      </c>
      <c r="C119" t="s">
        <v>1552</v>
      </c>
    </row>
    <row r="120" spans="1:3" ht="14">
      <c r="A120" s="108" t="s">
        <v>1147</v>
      </c>
      <c r="B120" s="109" t="s">
        <v>1922</v>
      </c>
      <c r="C120" t="s">
        <v>1668</v>
      </c>
    </row>
    <row r="121" spans="1:3" ht="14">
      <c r="A121" s="108" t="s">
        <v>2019</v>
      </c>
      <c r="B121" s="109" t="s">
        <v>1833</v>
      </c>
      <c r="C121" t="s">
        <v>1309</v>
      </c>
    </row>
    <row r="122" spans="1:3" ht="14">
      <c r="A122" s="108" t="s">
        <v>563</v>
      </c>
      <c r="B122" s="109" t="s">
        <v>418</v>
      </c>
      <c r="C122" t="s">
        <v>945</v>
      </c>
    </row>
    <row r="123" spans="1:3" ht="14">
      <c r="A123" s="108" t="s">
        <v>1832</v>
      </c>
      <c r="B123" s="109" t="s">
        <v>1833</v>
      </c>
      <c r="C123" t="s">
        <v>726</v>
      </c>
    </row>
    <row r="124" spans="1:3" ht="14">
      <c r="A124" s="108" t="s">
        <v>1145</v>
      </c>
      <c r="B124" s="109" t="s">
        <v>1833</v>
      </c>
      <c r="C124" t="s">
        <v>1734</v>
      </c>
    </row>
    <row r="125" spans="1:3" ht="14">
      <c r="A125" s="108" t="s">
        <v>640</v>
      </c>
      <c r="B125" s="109" t="s">
        <v>1180</v>
      </c>
      <c r="C125" t="s">
        <v>1747</v>
      </c>
    </row>
    <row r="126" spans="1:3" ht="14">
      <c r="A126" s="108" t="s">
        <v>693</v>
      </c>
      <c r="B126" s="109" t="s">
        <v>1180</v>
      </c>
      <c r="C126" t="s">
        <v>1747</v>
      </c>
    </row>
    <row r="127" spans="1:3" ht="14">
      <c r="A127" s="108" t="s">
        <v>1037</v>
      </c>
      <c r="B127" s="168" t="s">
        <v>1833</v>
      </c>
      <c r="C127" t="s">
        <v>1310</v>
      </c>
    </row>
    <row r="128" spans="1:3" ht="14">
      <c r="A128" s="108" t="s">
        <v>1537</v>
      </c>
      <c r="B128" s="109" t="s">
        <v>1632</v>
      </c>
      <c r="C128" t="s">
        <v>690</v>
      </c>
    </row>
    <row r="129" spans="1:3" ht="14">
      <c r="A129" s="108" t="s">
        <v>695</v>
      </c>
      <c r="B129" s="109" t="s">
        <v>1833</v>
      </c>
      <c r="C129" t="s">
        <v>726</v>
      </c>
    </row>
    <row r="130" spans="1:3" ht="14">
      <c r="A130" s="108" t="s">
        <v>1190</v>
      </c>
      <c r="B130" s="109" t="s">
        <v>1812</v>
      </c>
      <c r="C130" t="s">
        <v>1852</v>
      </c>
    </row>
    <row r="131" spans="1:3" ht="14">
      <c r="A131" s="108" t="s">
        <v>559</v>
      </c>
      <c r="B131" s="109" t="s">
        <v>862</v>
      </c>
      <c r="C131" t="s">
        <v>732</v>
      </c>
    </row>
    <row r="132" spans="1:3" ht="14">
      <c r="A132" s="108" t="s">
        <v>1804</v>
      </c>
      <c r="B132" s="109" t="s">
        <v>1632</v>
      </c>
      <c r="C132" t="s">
        <v>946</v>
      </c>
    </row>
    <row r="133" spans="1:3" ht="14">
      <c r="A133" s="108" t="s">
        <v>1805</v>
      </c>
      <c r="B133" s="109" t="s">
        <v>1833</v>
      </c>
      <c r="C133" t="s">
        <v>780</v>
      </c>
    </row>
    <row r="134" spans="1:3" ht="14">
      <c r="A134" s="108" t="s">
        <v>1814</v>
      </c>
      <c r="B134" s="109" t="s">
        <v>1922</v>
      </c>
      <c r="C134" t="s">
        <v>1906</v>
      </c>
    </row>
    <row r="135" spans="1:3" ht="14">
      <c r="A135" s="108" t="s">
        <v>698</v>
      </c>
      <c r="B135" s="109" t="s">
        <v>1922</v>
      </c>
      <c r="C135" t="s">
        <v>779</v>
      </c>
    </row>
    <row r="136" spans="1:3" ht="14">
      <c r="A136" s="108" t="s">
        <v>560</v>
      </c>
      <c r="B136" s="109" t="s">
        <v>864</v>
      </c>
      <c r="C136" t="s">
        <v>870</v>
      </c>
    </row>
    <row r="137" spans="1:3" ht="14">
      <c r="A137" s="108" t="s">
        <v>689</v>
      </c>
      <c r="B137" s="109" t="s">
        <v>1548</v>
      </c>
      <c r="C137" t="s">
        <v>1735</v>
      </c>
    </row>
    <row r="138" spans="1:3" ht="14">
      <c r="A138" s="108" t="s">
        <v>553</v>
      </c>
      <c r="B138" s="109" t="s">
        <v>598</v>
      </c>
      <c r="C138" t="s">
        <v>1158</v>
      </c>
    </row>
    <row r="139" spans="1:3" ht="14">
      <c r="A139" s="108" t="s">
        <v>1663</v>
      </c>
      <c r="B139" s="109" t="s">
        <v>1180</v>
      </c>
      <c r="C139" t="s">
        <v>877</v>
      </c>
    </row>
    <row r="140" spans="1:3" ht="14">
      <c r="A140" s="108" t="s">
        <v>793</v>
      </c>
      <c r="B140" s="109" t="s">
        <v>1833</v>
      </c>
      <c r="C140" t="s">
        <v>759</v>
      </c>
    </row>
    <row r="141" spans="1:3" ht="14">
      <c r="A141" s="108" t="s">
        <v>1156</v>
      </c>
      <c r="B141" s="109" t="s">
        <v>1833</v>
      </c>
      <c r="C141" t="s">
        <v>1667</v>
      </c>
    </row>
    <row r="142" spans="1:3" ht="14">
      <c r="A142" s="108" t="s">
        <v>1224</v>
      </c>
      <c r="B142" s="109" t="s">
        <v>1833</v>
      </c>
      <c r="C142" t="s">
        <v>1090</v>
      </c>
    </row>
    <row r="143" spans="1:3" ht="14">
      <c r="A143" s="108" t="s">
        <v>699</v>
      </c>
      <c r="B143" s="168" t="s">
        <v>1833</v>
      </c>
      <c r="C143" t="s">
        <v>1310</v>
      </c>
    </row>
    <row r="144" spans="1:3" ht="14">
      <c r="A144" s="108" t="s">
        <v>890</v>
      </c>
      <c r="B144" s="168" t="s">
        <v>1833</v>
      </c>
      <c r="C144" t="s">
        <v>1436</v>
      </c>
    </row>
    <row r="145" spans="1:3" ht="14">
      <c r="A145" s="108" t="s">
        <v>1454</v>
      </c>
      <c r="B145" s="109" t="s">
        <v>1833</v>
      </c>
      <c r="C145" t="s">
        <v>1311</v>
      </c>
    </row>
    <row r="146" spans="1:3" ht="14">
      <c r="A146" s="108" t="s">
        <v>741</v>
      </c>
      <c r="B146" s="109" t="s">
        <v>1587</v>
      </c>
      <c r="C146" t="s">
        <v>1747</v>
      </c>
    </row>
    <row r="147" spans="1:3" ht="14">
      <c r="A147" s="108" t="s">
        <v>742</v>
      </c>
      <c r="B147" s="109" t="s">
        <v>1587</v>
      </c>
      <c r="C147" t="s">
        <v>1907</v>
      </c>
    </row>
    <row r="148" spans="1:3" ht="14">
      <c r="A148" s="108" t="s">
        <v>486</v>
      </c>
      <c r="B148" s="109" t="s">
        <v>1631</v>
      </c>
      <c r="C148" t="s">
        <v>1906</v>
      </c>
    </row>
    <row r="149" spans="1:3" ht="14">
      <c r="A149" s="108" t="s">
        <v>723</v>
      </c>
      <c r="B149" s="109" t="s">
        <v>418</v>
      </c>
      <c r="C149" t="s">
        <v>1864</v>
      </c>
    </row>
    <row r="150" spans="1:3" ht="14">
      <c r="A150" s="108" t="s">
        <v>743</v>
      </c>
      <c r="B150" s="109" t="s">
        <v>1833</v>
      </c>
      <c r="C150" t="s">
        <v>726</v>
      </c>
    </row>
    <row r="151" spans="1:3" ht="14">
      <c r="A151" s="108" t="s">
        <v>744</v>
      </c>
      <c r="B151" s="109" t="s">
        <v>1632</v>
      </c>
      <c r="C151" t="s">
        <v>690</v>
      </c>
    </row>
    <row r="152" spans="1:3" ht="14">
      <c r="A152" s="108" t="s">
        <v>2032</v>
      </c>
      <c r="B152" s="109" t="s">
        <v>1833</v>
      </c>
      <c r="C152" t="s">
        <v>1311</v>
      </c>
    </row>
    <row r="153" spans="1:3" ht="14">
      <c r="A153" s="108" t="s">
        <v>885</v>
      </c>
      <c r="B153" s="109" t="s">
        <v>1833</v>
      </c>
      <c r="C153" t="s">
        <v>1747</v>
      </c>
    </row>
    <row r="154" spans="1:3" ht="14">
      <c r="A154" s="108" t="s">
        <v>1384</v>
      </c>
      <c r="B154" s="109" t="s">
        <v>1922</v>
      </c>
      <c r="C154" t="s">
        <v>1906</v>
      </c>
    </row>
    <row r="155" spans="1:3" ht="14">
      <c r="A155" s="108" t="s">
        <v>1385</v>
      </c>
      <c r="B155" s="109" t="s">
        <v>1632</v>
      </c>
      <c r="C155" t="s">
        <v>690</v>
      </c>
    </row>
    <row r="156" spans="1:3" ht="14">
      <c r="A156" s="108" t="s">
        <v>800</v>
      </c>
      <c r="B156" s="109" t="s">
        <v>1922</v>
      </c>
      <c r="C156" t="s">
        <v>899</v>
      </c>
    </row>
    <row r="157" spans="1:3" ht="14">
      <c r="A157" s="108" t="s">
        <v>755</v>
      </c>
      <c r="B157" s="109" t="s">
        <v>1180</v>
      </c>
      <c r="C157" t="s">
        <v>725</v>
      </c>
    </row>
    <row r="158" spans="1:3" ht="14">
      <c r="A158" s="108" t="s">
        <v>738</v>
      </c>
      <c r="B158" s="109" t="s">
        <v>1833</v>
      </c>
      <c r="C158" t="s">
        <v>780</v>
      </c>
    </row>
    <row r="159" spans="1:3" ht="14">
      <c r="A159" s="108" t="s">
        <v>1410</v>
      </c>
      <c r="B159" s="109" t="s">
        <v>1833</v>
      </c>
      <c r="C159" t="s">
        <v>780</v>
      </c>
    </row>
    <row r="160" spans="1:3" ht="14">
      <c r="A160" s="108" t="s">
        <v>817</v>
      </c>
      <c r="B160" s="109" t="s">
        <v>1833</v>
      </c>
      <c r="C160" t="s">
        <v>511</v>
      </c>
    </row>
    <row r="161" spans="1:3" ht="14">
      <c r="A161" s="108" t="s">
        <v>504</v>
      </c>
      <c r="B161" s="109" t="s">
        <v>1833</v>
      </c>
      <c r="C161" t="s">
        <v>511</v>
      </c>
    </row>
    <row r="162" spans="1:3" ht="14">
      <c r="A162" s="108" t="s">
        <v>879</v>
      </c>
      <c r="B162" s="109" t="s">
        <v>1833</v>
      </c>
      <c r="C162" t="s">
        <v>511</v>
      </c>
    </row>
    <row r="163" spans="1:3" ht="14">
      <c r="A163" s="108" t="s">
        <v>1028</v>
      </c>
      <c r="B163" s="109" t="s">
        <v>1548</v>
      </c>
      <c r="C163" t="s">
        <v>1906</v>
      </c>
    </row>
    <row r="164" spans="1:3" ht="14">
      <c r="A164" s="108" t="s">
        <v>1019</v>
      </c>
      <c r="B164" s="109" t="s">
        <v>1632</v>
      </c>
      <c r="C164" t="s">
        <v>690</v>
      </c>
    </row>
    <row r="165" spans="1:3" ht="14">
      <c r="A165" s="108" t="s">
        <v>1020</v>
      </c>
      <c r="B165" s="109" t="s">
        <v>1632</v>
      </c>
      <c r="C165" t="s">
        <v>683</v>
      </c>
    </row>
    <row r="166" spans="1:3" ht="14">
      <c r="A166" s="108" t="s">
        <v>582</v>
      </c>
      <c r="B166" s="109" t="s">
        <v>1922</v>
      </c>
      <c r="C166" t="s">
        <v>1552</v>
      </c>
    </row>
    <row r="167" spans="1:3" ht="14">
      <c r="A167" s="108" t="s">
        <v>1991</v>
      </c>
      <c r="B167" s="109" t="s">
        <v>1833</v>
      </c>
      <c r="C167" t="s">
        <v>511</v>
      </c>
    </row>
    <row r="168" spans="1:3" ht="14">
      <c r="A168" s="108" t="s">
        <v>886</v>
      </c>
      <c r="B168" s="109" t="s">
        <v>1833</v>
      </c>
      <c r="C168" t="s">
        <v>613</v>
      </c>
    </row>
    <row r="169" spans="1:3" ht="14">
      <c r="A169" s="108" t="s">
        <v>2057</v>
      </c>
      <c r="B169" s="109" t="s">
        <v>418</v>
      </c>
      <c r="C169" t="s">
        <v>860</v>
      </c>
    </row>
    <row r="170" spans="1:3" ht="14">
      <c r="A170" s="108" t="s">
        <v>1865</v>
      </c>
      <c r="B170" s="109" t="s">
        <v>418</v>
      </c>
      <c r="C170" t="s">
        <v>860</v>
      </c>
    </row>
    <row r="171" spans="1:3" ht="14">
      <c r="A171" s="108" t="s">
        <v>2058</v>
      </c>
      <c r="B171" s="109" t="s">
        <v>418</v>
      </c>
      <c r="C171" t="s">
        <v>860</v>
      </c>
    </row>
    <row r="172" spans="1:3" ht="14">
      <c r="A172" s="108" t="s">
        <v>1192</v>
      </c>
      <c r="B172" s="109" t="s">
        <v>1833</v>
      </c>
      <c r="C172" t="s">
        <v>1734</v>
      </c>
    </row>
    <row r="173" spans="1:3" ht="14">
      <c r="A173" s="108" t="s">
        <v>587</v>
      </c>
      <c r="B173" s="109" t="s">
        <v>1632</v>
      </c>
      <c r="C173" t="s">
        <v>690</v>
      </c>
    </row>
    <row r="174" spans="1:3" ht="14">
      <c r="A174" s="108" t="s">
        <v>842</v>
      </c>
      <c r="B174" s="109" t="s">
        <v>1587</v>
      </c>
      <c r="C174" t="s">
        <v>1566</v>
      </c>
    </row>
    <row r="175" spans="1:3" ht="14">
      <c r="A175" s="108" t="s">
        <v>1209</v>
      </c>
      <c r="B175" s="109" t="s">
        <v>1632</v>
      </c>
      <c r="C175" t="s">
        <v>690</v>
      </c>
    </row>
    <row r="176" spans="1:3" ht="14">
      <c r="A176" s="108" t="s">
        <v>569</v>
      </c>
      <c r="B176" s="109" t="s">
        <v>570</v>
      </c>
      <c r="C176" t="s">
        <v>571</v>
      </c>
    </row>
    <row r="177" spans="1:3" ht="14">
      <c r="A177" s="108" t="s">
        <v>1139</v>
      </c>
      <c r="B177" s="109" t="s">
        <v>1548</v>
      </c>
      <c r="C177" t="s">
        <v>610</v>
      </c>
    </row>
    <row r="178" spans="1:3" ht="14">
      <c r="A178" s="108" t="s">
        <v>1658</v>
      </c>
      <c r="B178" s="109" t="s">
        <v>418</v>
      </c>
      <c r="C178" t="s">
        <v>773</v>
      </c>
    </row>
    <row r="179" spans="1:3" ht="14">
      <c r="A179" s="108" t="s">
        <v>1213</v>
      </c>
      <c r="B179" s="109" t="s">
        <v>1632</v>
      </c>
      <c r="C179" t="s">
        <v>690</v>
      </c>
    </row>
    <row r="180" spans="1:3" ht="14">
      <c r="A180" s="108" t="s">
        <v>1538</v>
      </c>
      <c r="B180" s="109" t="s">
        <v>1833</v>
      </c>
      <c r="C180" t="s">
        <v>1667</v>
      </c>
    </row>
    <row r="181" spans="1:3" ht="14">
      <c r="A181" s="108" t="s">
        <v>1577</v>
      </c>
      <c r="B181" s="109" t="s">
        <v>486</v>
      </c>
      <c r="C181" t="s">
        <v>1607</v>
      </c>
    </row>
    <row r="182" spans="1:3" ht="14">
      <c r="A182" s="108" t="s">
        <v>1800</v>
      </c>
      <c r="B182" s="109" t="s">
        <v>1833</v>
      </c>
      <c r="C182" t="s">
        <v>1747</v>
      </c>
    </row>
    <row r="183" spans="1:3" ht="14">
      <c r="A183" s="108" t="s">
        <v>1354</v>
      </c>
      <c r="B183" s="109" t="s">
        <v>1833</v>
      </c>
      <c r="C183" t="s">
        <v>1734</v>
      </c>
    </row>
    <row r="184" spans="1:3" ht="14">
      <c r="A184" s="108" t="s">
        <v>1216</v>
      </c>
      <c r="B184" s="109" t="s">
        <v>418</v>
      </c>
      <c r="C184" t="s">
        <v>725</v>
      </c>
    </row>
    <row r="185" spans="1:3" ht="14">
      <c r="A185" s="108" t="s">
        <v>1957</v>
      </c>
      <c r="B185" s="109" t="s">
        <v>1833</v>
      </c>
      <c r="C185" t="s">
        <v>726</v>
      </c>
    </row>
    <row r="186" spans="1:3" ht="14">
      <c r="A186" s="108" t="s">
        <v>608</v>
      </c>
      <c r="B186" s="109" t="s">
        <v>1548</v>
      </c>
      <c r="C186" t="s">
        <v>721</v>
      </c>
    </row>
    <row r="187" spans="1:3" ht="14">
      <c r="A187" s="108" t="s">
        <v>835</v>
      </c>
      <c r="B187" s="109" t="s">
        <v>598</v>
      </c>
      <c r="C187" t="s">
        <v>959</v>
      </c>
    </row>
    <row r="188" spans="1:3" ht="14">
      <c r="A188" s="108" t="s">
        <v>1214</v>
      </c>
      <c r="B188" s="109" t="s">
        <v>418</v>
      </c>
      <c r="C188" t="s">
        <v>1551</v>
      </c>
    </row>
    <row r="189" spans="1:3" ht="14">
      <c r="A189" s="108" t="s">
        <v>1795</v>
      </c>
      <c r="B189" s="109" t="s">
        <v>1587</v>
      </c>
      <c r="C189" t="s">
        <v>1275</v>
      </c>
    </row>
    <row r="190" spans="1:3" ht="14">
      <c r="A190" s="108" t="s">
        <v>1086</v>
      </c>
      <c r="B190" s="109" t="s">
        <v>1833</v>
      </c>
      <c r="C190" t="s">
        <v>1667</v>
      </c>
    </row>
    <row r="191" spans="1:3" ht="14">
      <c r="A191" s="108" t="s">
        <v>1796</v>
      </c>
      <c r="B191" s="109" t="s">
        <v>1833</v>
      </c>
      <c r="C191" t="s">
        <v>1667</v>
      </c>
    </row>
    <row r="192" spans="1:3" ht="14">
      <c r="A192" s="108" t="s">
        <v>921</v>
      </c>
      <c r="B192" s="109" t="s">
        <v>418</v>
      </c>
      <c r="C192" t="s">
        <v>1733</v>
      </c>
    </row>
    <row r="193" spans="1:3" ht="14">
      <c r="A193" s="108" t="s">
        <v>1459</v>
      </c>
      <c r="B193" s="109" t="s">
        <v>1833</v>
      </c>
      <c r="C193" t="s">
        <v>1734</v>
      </c>
    </row>
    <row r="194" spans="1:3" ht="14">
      <c r="A194" s="108" t="s">
        <v>1550</v>
      </c>
      <c r="B194" s="109" t="s">
        <v>1833</v>
      </c>
      <c r="C194" t="s">
        <v>1734</v>
      </c>
    </row>
    <row r="195" spans="1:3" ht="14">
      <c r="A195" s="108" t="s">
        <v>757</v>
      </c>
      <c r="B195" s="109" t="s">
        <v>1833</v>
      </c>
      <c r="C195" t="s">
        <v>759</v>
      </c>
    </row>
    <row r="196" spans="1:3" ht="14">
      <c r="A196" s="108" t="s">
        <v>1797</v>
      </c>
      <c r="B196" s="109" t="s">
        <v>1833</v>
      </c>
      <c r="C196" t="s">
        <v>1667</v>
      </c>
    </row>
    <row r="197" spans="1:3" ht="14">
      <c r="A197" s="108" t="s">
        <v>1648</v>
      </c>
      <c r="B197" s="109" t="s">
        <v>1833</v>
      </c>
      <c r="C197" t="s">
        <v>973</v>
      </c>
    </row>
    <row r="198" spans="1:3" ht="14">
      <c r="A198" s="108" t="s">
        <v>1140</v>
      </c>
      <c r="B198" s="109" t="s">
        <v>1548</v>
      </c>
      <c r="C198" t="s">
        <v>610</v>
      </c>
    </row>
    <row r="199" spans="1:3" ht="14">
      <c r="A199" s="108" t="s">
        <v>1649</v>
      </c>
      <c r="B199" s="109" t="s">
        <v>1833</v>
      </c>
      <c r="C199" t="s">
        <v>530</v>
      </c>
    </row>
    <row r="200" spans="1:3" ht="14">
      <c r="A200" s="108" t="s">
        <v>1659</v>
      </c>
      <c r="B200" s="109" t="s">
        <v>418</v>
      </c>
      <c r="C200" t="s">
        <v>1551</v>
      </c>
    </row>
    <row r="201" spans="1:3" ht="14">
      <c r="A201" s="108" t="s">
        <v>922</v>
      </c>
      <c r="B201" s="109" t="s">
        <v>418</v>
      </c>
      <c r="C201" t="s">
        <v>1733</v>
      </c>
    </row>
    <row r="202" spans="1:3" ht="14">
      <c r="A202" s="108" t="s">
        <v>1306</v>
      </c>
      <c r="B202" s="109" t="s">
        <v>1833</v>
      </c>
      <c r="C202" t="s">
        <v>726</v>
      </c>
    </row>
    <row r="203" spans="1:3" ht="14">
      <c r="A203" s="108" t="s">
        <v>561</v>
      </c>
      <c r="B203" s="109" t="s">
        <v>872</v>
      </c>
      <c r="C203" t="s">
        <v>1228</v>
      </c>
    </row>
    <row r="204" spans="1:3" ht="14">
      <c r="A204" s="108" t="s">
        <v>1947</v>
      </c>
      <c r="B204" s="109" t="s">
        <v>418</v>
      </c>
      <c r="C204" t="s">
        <v>860</v>
      </c>
    </row>
    <row r="205" spans="1:3" ht="14">
      <c r="A205" s="108" t="s">
        <v>1087</v>
      </c>
      <c r="B205" s="109" t="s">
        <v>1833</v>
      </c>
      <c r="C205" t="s">
        <v>736</v>
      </c>
    </row>
    <row r="206" spans="1:3" ht="14">
      <c r="A206" s="108" t="s">
        <v>1088</v>
      </c>
      <c r="B206" s="109" t="s">
        <v>1922</v>
      </c>
      <c r="C206" t="s">
        <v>1552</v>
      </c>
    </row>
    <row r="207" spans="1:3" ht="14">
      <c r="A207" s="108" t="s">
        <v>2061</v>
      </c>
      <c r="B207" s="109" t="s">
        <v>872</v>
      </c>
      <c r="C207" t="s">
        <v>860</v>
      </c>
    </row>
    <row r="208" spans="1:3" ht="14">
      <c r="A208" s="108" t="s">
        <v>916</v>
      </c>
      <c r="B208" s="109" t="s">
        <v>418</v>
      </c>
      <c r="C208" t="s">
        <v>860</v>
      </c>
    </row>
    <row r="209" spans="1:3" ht="14">
      <c r="A209" s="108" t="s">
        <v>966</v>
      </c>
      <c r="B209" s="109" t="s">
        <v>1548</v>
      </c>
      <c r="C209" t="s">
        <v>1735</v>
      </c>
    </row>
    <row r="210" spans="1:3" ht="14">
      <c r="A210" s="108" t="s">
        <v>1483</v>
      </c>
      <c r="B210" s="109" t="s">
        <v>598</v>
      </c>
      <c r="C210" t="s">
        <v>537</v>
      </c>
    </row>
    <row r="211" spans="1:3" ht="14">
      <c r="A211" s="108" t="s">
        <v>1319</v>
      </c>
      <c r="B211" s="109" t="s">
        <v>476</v>
      </c>
      <c r="C211" t="s">
        <v>1566</v>
      </c>
    </row>
    <row r="212" spans="1:3" ht="14">
      <c r="A212" s="108" t="s">
        <v>1329</v>
      </c>
      <c r="B212" s="109" t="s">
        <v>1833</v>
      </c>
      <c r="C212" t="s">
        <v>1667</v>
      </c>
    </row>
    <row r="213" spans="1:3" ht="14">
      <c r="A213" s="108" t="s">
        <v>815</v>
      </c>
      <c r="B213" s="109" t="s">
        <v>1548</v>
      </c>
      <c r="C213" t="s">
        <v>1735</v>
      </c>
    </row>
    <row r="214" spans="1:3" ht="14">
      <c r="A214" s="108" t="s">
        <v>616</v>
      </c>
      <c r="B214" s="109" t="s">
        <v>1180</v>
      </c>
      <c r="C214" t="s">
        <v>1566</v>
      </c>
    </row>
    <row r="215" spans="1:3" ht="14">
      <c r="A215" s="108" t="s">
        <v>1243</v>
      </c>
      <c r="B215" s="109" t="s">
        <v>1833</v>
      </c>
      <c r="C215" t="s">
        <v>737</v>
      </c>
    </row>
    <row r="216" spans="1:3" ht="14">
      <c r="A216" s="108" t="s">
        <v>1388</v>
      </c>
      <c r="B216" s="109" t="s">
        <v>1632</v>
      </c>
      <c r="C216" t="s">
        <v>1247</v>
      </c>
    </row>
    <row r="217" spans="1:3" ht="14">
      <c r="A217" s="108" t="s">
        <v>1932</v>
      </c>
      <c r="B217" s="109" t="s">
        <v>1180</v>
      </c>
      <c r="C217" t="s">
        <v>725</v>
      </c>
    </row>
    <row r="218" spans="1:3" ht="14">
      <c r="A218" s="108" t="s">
        <v>932</v>
      </c>
      <c r="B218" s="109" t="s">
        <v>418</v>
      </c>
      <c r="C218" t="s">
        <v>510</v>
      </c>
    </row>
    <row r="219" spans="1:3" ht="14">
      <c r="A219" s="108" t="s">
        <v>1273</v>
      </c>
      <c r="B219" s="109" t="s">
        <v>1922</v>
      </c>
      <c r="C219" t="s">
        <v>1906</v>
      </c>
    </row>
    <row r="220" spans="1:3" ht="14">
      <c r="A220" s="108" t="s">
        <v>1572</v>
      </c>
      <c r="B220" s="109" t="s">
        <v>1632</v>
      </c>
      <c r="C220" t="s">
        <v>690</v>
      </c>
    </row>
    <row r="221" spans="1:3" ht="14">
      <c r="A221" s="108" t="s">
        <v>1358</v>
      </c>
      <c r="B221" s="109" t="s">
        <v>1833</v>
      </c>
      <c r="C221" t="s">
        <v>1747</v>
      </c>
    </row>
    <row r="222" spans="1:3" ht="14">
      <c r="A222" s="108" t="s">
        <v>767</v>
      </c>
      <c r="B222" s="109" t="s">
        <v>1548</v>
      </c>
      <c r="C222" t="s">
        <v>721</v>
      </c>
    </row>
    <row r="223" spans="1:3" ht="14">
      <c r="A223" s="108" t="s">
        <v>1357</v>
      </c>
      <c r="B223" s="109" t="s">
        <v>1632</v>
      </c>
      <c r="C223" t="s">
        <v>690</v>
      </c>
    </row>
    <row r="224" spans="1:3" ht="14">
      <c r="A224" s="108" t="s">
        <v>999</v>
      </c>
      <c r="B224" s="109" t="s">
        <v>1632</v>
      </c>
      <c r="C224" t="s">
        <v>690</v>
      </c>
    </row>
    <row r="225" spans="1:3" ht="14">
      <c r="A225" s="108" t="s">
        <v>1573</v>
      </c>
      <c r="B225" s="109" t="s">
        <v>1632</v>
      </c>
      <c r="C225" t="s">
        <v>690</v>
      </c>
    </row>
    <row r="226" spans="1:3" ht="14">
      <c r="A226" s="108" t="s">
        <v>584</v>
      </c>
      <c r="B226" s="109" t="s">
        <v>585</v>
      </c>
      <c r="C226" t="s">
        <v>590</v>
      </c>
    </row>
    <row r="227" spans="1:3" ht="14">
      <c r="A227" s="108" t="s">
        <v>1574</v>
      </c>
      <c r="B227" s="109" t="s">
        <v>1833</v>
      </c>
      <c r="C227" t="s">
        <v>725</v>
      </c>
    </row>
    <row r="228" spans="1:3" ht="14">
      <c r="A228" s="108" t="s">
        <v>1964</v>
      </c>
      <c r="B228" s="109" t="s">
        <v>1180</v>
      </c>
      <c r="C228" t="s">
        <v>1747</v>
      </c>
    </row>
    <row r="229" spans="1:3" ht="14">
      <c r="A229" s="108" t="s">
        <v>1870</v>
      </c>
      <c r="B229" s="109" t="s">
        <v>1922</v>
      </c>
      <c r="C229" t="s">
        <v>1274</v>
      </c>
    </row>
    <row r="230" spans="1:3" ht="14">
      <c r="A230" s="108" t="s">
        <v>1377</v>
      </c>
      <c r="B230" s="109" t="s">
        <v>1922</v>
      </c>
      <c r="C230" t="s">
        <v>1906</v>
      </c>
    </row>
    <row r="231" spans="1:3" ht="14">
      <c r="A231" s="108" t="s">
        <v>1462</v>
      </c>
      <c r="B231" s="109" t="s">
        <v>476</v>
      </c>
      <c r="C231" t="s">
        <v>1906</v>
      </c>
    </row>
    <row r="232" spans="1:3" ht="14">
      <c r="A232" s="108" t="s">
        <v>752</v>
      </c>
      <c r="B232" s="109" t="s">
        <v>418</v>
      </c>
      <c r="C232" t="s">
        <v>1733</v>
      </c>
    </row>
    <row r="233" spans="1:3" ht="14">
      <c r="A233" s="108" t="s">
        <v>1680</v>
      </c>
      <c r="B233" s="109" t="s">
        <v>1922</v>
      </c>
      <c r="C233" t="s">
        <v>1274</v>
      </c>
    </row>
    <row r="234" spans="1:3" ht="14">
      <c r="A234" s="108" t="s">
        <v>1386</v>
      </c>
      <c r="B234" s="109" t="s">
        <v>1922</v>
      </c>
      <c r="C234" t="s">
        <v>1552</v>
      </c>
    </row>
    <row r="235" spans="1:3" ht="14">
      <c r="A235" s="108" t="s">
        <v>750</v>
      </c>
      <c r="B235" s="109" t="s">
        <v>598</v>
      </c>
      <c r="C235" t="s">
        <v>769</v>
      </c>
    </row>
    <row r="236" spans="1:3" ht="14">
      <c r="A236" s="108" t="s">
        <v>1825</v>
      </c>
      <c r="B236" s="109" t="s">
        <v>1922</v>
      </c>
      <c r="C236" t="s">
        <v>1274</v>
      </c>
    </row>
    <row r="237" spans="1:3" ht="14">
      <c r="A237" s="108" t="s">
        <v>1847</v>
      </c>
      <c r="B237" s="109" t="s">
        <v>1922</v>
      </c>
      <c r="C237" t="s">
        <v>1274</v>
      </c>
    </row>
    <row r="238" spans="1:3" ht="14">
      <c r="A238" s="108" t="s">
        <v>541</v>
      </c>
      <c r="B238" s="109" t="s">
        <v>1833</v>
      </c>
      <c r="C238" t="s">
        <v>992</v>
      </c>
    </row>
    <row r="239" spans="1:3" ht="14">
      <c r="A239" s="108" t="s">
        <v>1585</v>
      </c>
      <c r="B239" s="109" t="s">
        <v>1922</v>
      </c>
      <c r="C239" t="s">
        <v>1552</v>
      </c>
    </row>
    <row r="240" spans="1:3" ht="14">
      <c r="A240" s="108" t="s">
        <v>1930</v>
      </c>
      <c r="B240" s="109" t="s">
        <v>1833</v>
      </c>
      <c r="C240" t="s">
        <v>516</v>
      </c>
    </row>
    <row r="241" spans="1:3" ht="14">
      <c r="A241" s="108" t="s">
        <v>1931</v>
      </c>
      <c r="B241" s="109" t="s">
        <v>1833</v>
      </c>
      <c r="C241" t="s">
        <v>613</v>
      </c>
    </row>
    <row r="242" spans="1:3" ht="14">
      <c r="A242" s="108" t="s">
        <v>1713</v>
      </c>
      <c r="B242" s="109" t="s">
        <v>1632</v>
      </c>
      <c r="C242" t="s">
        <v>690</v>
      </c>
    </row>
    <row r="243" spans="1:3" ht="14">
      <c r="A243" s="108" t="s">
        <v>764</v>
      </c>
      <c r="B243" s="109" t="s">
        <v>418</v>
      </c>
      <c r="C243" t="s">
        <v>860</v>
      </c>
    </row>
    <row r="244" spans="1:3" ht="14">
      <c r="A244" s="108" t="s">
        <v>765</v>
      </c>
      <c r="B244" s="109" t="s">
        <v>418</v>
      </c>
      <c r="C244" t="s">
        <v>1935</v>
      </c>
    </row>
    <row r="245" spans="1:3" ht="14">
      <c r="A245" s="108" t="s">
        <v>711</v>
      </c>
      <c r="B245" s="109" t="s">
        <v>1632</v>
      </c>
      <c r="C245" t="s">
        <v>690</v>
      </c>
    </row>
    <row r="246" spans="1:3" ht="14">
      <c r="A246" s="108" t="s">
        <v>573</v>
      </c>
      <c r="B246" s="109" t="s">
        <v>598</v>
      </c>
      <c r="C246" t="s">
        <v>592</v>
      </c>
    </row>
    <row r="247" spans="1:3" ht="14">
      <c r="A247" s="108" t="s">
        <v>717</v>
      </c>
      <c r="B247" s="109" t="s">
        <v>1833</v>
      </c>
      <c r="C247" t="s">
        <v>877</v>
      </c>
    </row>
    <row r="248" spans="1:3" ht="14">
      <c r="A248" s="108" t="s">
        <v>547</v>
      </c>
      <c r="B248" s="109" t="s">
        <v>1180</v>
      </c>
      <c r="C248" t="s">
        <v>1747</v>
      </c>
    </row>
    <row r="249" spans="1:3" ht="14">
      <c r="A249" s="108" t="s">
        <v>718</v>
      </c>
      <c r="B249" s="109" t="s">
        <v>1833</v>
      </c>
      <c r="C249" t="s">
        <v>1667</v>
      </c>
    </row>
    <row r="250" spans="1:3" ht="14">
      <c r="A250" s="108" t="s">
        <v>989</v>
      </c>
      <c r="B250" s="109" t="s">
        <v>1833</v>
      </c>
      <c r="C250" t="s">
        <v>1934</v>
      </c>
    </row>
    <row r="251" spans="1:3" ht="14">
      <c r="A251" s="108" t="s">
        <v>1598</v>
      </c>
      <c r="B251" s="109" t="s">
        <v>1833</v>
      </c>
      <c r="C251" t="s">
        <v>1852</v>
      </c>
    </row>
    <row r="252" spans="1:3" ht="14">
      <c r="A252" s="108" t="s">
        <v>1599</v>
      </c>
      <c r="B252" s="109" t="s">
        <v>418</v>
      </c>
      <c r="C252" t="s">
        <v>1852</v>
      </c>
    </row>
    <row r="253" spans="1:3" ht="14">
      <c r="A253" s="108" t="s">
        <v>1444</v>
      </c>
      <c r="B253" s="109" t="s">
        <v>1922</v>
      </c>
      <c r="C253" t="s">
        <v>1552</v>
      </c>
    </row>
    <row r="254" spans="1:3" ht="14">
      <c r="A254" s="108" t="s">
        <v>1307</v>
      </c>
      <c r="B254" s="109" t="s">
        <v>872</v>
      </c>
      <c r="C254" t="s">
        <v>537</v>
      </c>
    </row>
    <row r="255" spans="1:3" ht="14">
      <c r="A255" s="108" t="s">
        <v>514</v>
      </c>
      <c r="B255" s="109" t="s">
        <v>501</v>
      </c>
      <c r="C255" t="s">
        <v>1054</v>
      </c>
    </row>
    <row r="256" spans="1:3" ht="14">
      <c r="A256" s="108" t="s">
        <v>1568</v>
      </c>
      <c r="B256" s="109" t="s">
        <v>1922</v>
      </c>
      <c r="C256" t="s">
        <v>1312</v>
      </c>
    </row>
    <row r="257" spans="1:3" ht="14">
      <c r="A257" s="108" t="s">
        <v>1569</v>
      </c>
      <c r="B257" s="109" t="s">
        <v>418</v>
      </c>
      <c r="C257" t="s">
        <v>860</v>
      </c>
    </row>
    <row r="258" spans="1:3" ht="14">
      <c r="A258" s="108" t="s">
        <v>1253</v>
      </c>
      <c r="B258" s="109" t="s">
        <v>1833</v>
      </c>
      <c r="C258" t="s">
        <v>791</v>
      </c>
    </row>
    <row r="259" spans="1:3" ht="14">
      <c r="A259" s="108" t="s">
        <v>1982</v>
      </c>
      <c r="B259" s="109" t="s">
        <v>1833</v>
      </c>
      <c r="C259" t="s">
        <v>791</v>
      </c>
    </row>
    <row r="260" spans="1:3" ht="14">
      <c r="A260" s="108" t="s">
        <v>529</v>
      </c>
      <c r="B260" s="109" t="s">
        <v>1833</v>
      </c>
      <c r="C260" t="s">
        <v>791</v>
      </c>
    </row>
    <row r="261" spans="1:3" ht="14">
      <c r="A261" s="108" t="s">
        <v>1435</v>
      </c>
      <c r="B261" s="109" t="s">
        <v>1833</v>
      </c>
      <c r="C261" t="s">
        <v>791</v>
      </c>
    </row>
    <row r="262" spans="1:3" ht="14">
      <c r="A262" s="108" t="s">
        <v>1007</v>
      </c>
      <c r="B262" s="109" t="s">
        <v>1833</v>
      </c>
      <c r="C262" t="s">
        <v>791</v>
      </c>
    </row>
    <row r="263" spans="1:3" ht="14">
      <c r="A263" s="108" t="s">
        <v>457</v>
      </c>
      <c r="B263" s="109" t="s">
        <v>1833</v>
      </c>
      <c r="C263" t="s">
        <v>1311</v>
      </c>
    </row>
    <row r="264" spans="1:3" ht="14">
      <c r="A264" s="108" t="s">
        <v>490</v>
      </c>
      <c r="B264" s="109" t="s">
        <v>1833</v>
      </c>
      <c r="C264" t="s">
        <v>1090</v>
      </c>
    </row>
    <row r="265" spans="1:3" ht="14">
      <c r="A265" s="108" t="s">
        <v>975</v>
      </c>
      <c r="B265" s="109" t="s">
        <v>872</v>
      </c>
      <c r="C265" t="s">
        <v>428</v>
      </c>
    </row>
    <row r="266" spans="1:3" ht="14">
      <c r="A266" s="108" t="s">
        <v>1460</v>
      </c>
      <c r="B266" s="109" t="s">
        <v>1833</v>
      </c>
      <c r="C266" t="s">
        <v>1734</v>
      </c>
    </row>
    <row r="267" spans="1:3" ht="14">
      <c r="A267" s="108" t="s">
        <v>753</v>
      </c>
      <c r="B267" s="109" t="s">
        <v>1833</v>
      </c>
      <c r="C267" t="s">
        <v>1734</v>
      </c>
    </row>
    <row r="268" spans="1:3" ht="14">
      <c r="A268" s="108" t="s">
        <v>1626</v>
      </c>
      <c r="B268" s="109" t="s">
        <v>1062</v>
      </c>
      <c r="C268" t="s">
        <v>2011</v>
      </c>
    </row>
    <row r="269" spans="1:3" ht="14">
      <c r="A269" s="108" t="s">
        <v>754</v>
      </c>
      <c r="B269" s="109" t="s">
        <v>1481</v>
      </c>
      <c r="C269" t="s">
        <v>661</v>
      </c>
    </row>
    <row r="270" spans="1:3" ht="14">
      <c r="A270" s="108" t="s">
        <v>1456</v>
      </c>
      <c r="B270" s="109" t="s">
        <v>1062</v>
      </c>
      <c r="C270" t="s">
        <v>2011</v>
      </c>
    </row>
    <row r="271" spans="1:3" ht="14">
      <c r="A271" s="108" t="s">
        <v>1263</v>
      </c>
      <c r="B271" s="109" t="s">
        <v>418</v>
      </c>
      <c r="C271" t="s">
        <v>860</v>
      </c>
    </row>
    <row r="272" spans="1:3" ht="14">
      <c r="A272" s="108" t="s">
        <v>925</v>
      </c>
      <c r="B272" s="109" t="s">
        <v>418</v>
      </c>
      <c r="C272" t="s">
        <v>860</v>
      </c>
    </row>
    <row r="273" spans="1:8" ht="14">
      <c r="A273" s="108" t="s">
        <v>1820</v>
      </c>
      <c r="B273" s="109" t="s">
        <v>1812</v>
      </c>
      <c r="C273" t="s">
        <v>860</v>
      </c>
    </row>
    <row r="274" spans="1:8" ht="14">
      <c r="A274" s="108" t="s">
        <v>1616</v>
      </c>
      <c r="B274" s="109" t="s">
        <v>1833</v>
      </c>
      <c r="C274" t="s">
        <v>790</v>
      </c>
    </row>
    <row r="275" spans="1:8" ht="14">
      <c r="A275" s="108" t="s">
        <v>1463</v>
      </c>
      <c r="B275" s="109" t="s">
        <v>476</v>
      </c>
      <c r="C275" t="s">
        <v>1906</v>
      </c>
    </row>
    <row r="276" spans="1:8" ht="14">
      <c r="A276" s="108" t="s">
        <v>482</v>
      </c>
      <c r="B276" s="109" t="s">
        <v>1833</v>
      </c>
      <c r="C276" t="s">
        <v>1607</v>
      </c>
    </row>
    <row r="277" spans="1:8" ht="14">
      <c r="A277" s="108" t="s">
        <v>1515</v>
      </c>
      <c r="B277" s="109" t="s">
        <v>1833</v>
      </c>
      <c r="C277" t="s">
        <v>1607</v>
      </c>
      <c r="H277" s="252"/>
    </row>
    <row r="278" spans="1:8" ht="14">
      <c r="A278" s="108" t="s">
        <v>1100</v>
      </c>
      <c r="B278" s="109" t="s">
        <v>1833</v>
      </c>
      <c r="C278" t="s">
        <v>1607</v>
      </c>
      <c r="H278" s="253"/>
    </row>
    <row r="279" spans="1:8" ht="14">
      <c r="A279" s="108" t="s">
        <v>607</v>
      </c>
      <c r="B279" s="109" t="s">
        <v>1833</v>
      </c>
      <c r="C279" t="s">
        <v>1607</v>
      </c>
    </row>
    <row r="280" spans="1:8" ht="14">
      <c r="A280" s="108" t="s">
        <v>1148</v>
      </c>
      <c r="B280" s="109" t="s">
        <v>1180</v>
      </c>
      <c r="C280" t="s">
        <v>1270</v>
      </c>
    </row>
    <row r="281" spans="1:8" ht="14">
      <c r="A281" s="108" t="s">
        <v>1128</v>
      </c>
      <c r="B281" s="109" t="s">
        <v>1180</v>
      </c>
      <c r="C281" t="s">
        <v>1668</v>
      </c>
    </row>
    <row r="282" spans="1:8" ht="14">
      <c r="A282" s="108" t="s">
        <v>1499</v>
      </c>
      <c r="B282" s="109" t="s">
        <v>1180</v>
      </c>
      <c r="C282" t="s">
        <v>1668</v>
      </c>
    </row>
    <row r="283" spans="1:8" ht="14">
      <c r="A283" s="108" t="s">
        <v>1500</v>
      </c>
      <c r="B283" s="109" t="s">
        <v>1833</v>
      </c>
      <c r="C283" t="s">
        <v>511</v>
      </c>
    </row>
    <row r="284" spans="1:8" ht="14">
      <c r="A284" s="108" t="s">
        <v>1651</v>
      </c>
      <c r="B284" s="109" t="s">
        <v>1833</v>
      </c>
      <c r="C284" t="s">
        <v>726</v>
      </c>
    </row>
    <row r="285" spans="1:8" ht="14">
      <c r="A285" s="108" t="s">
        <v>1241</v>
      </c>
      <c r="B285" s="109" t="s">
        <v>418</v>
      </c>
      <c r="C285" t="s">
        <v>1864</v>
      </c>
    </row>
    <row r="286" spans="1:8" ht="14">
      <c r="A286" s="108" t="s">
        <v>1097</v>
      </c>
      <c r="B286" s="109" t="s">
        <v>1833</v>
      </c>
      <c r="C286" t="s">
        <v>726</v>
      </c>
    </row>
    <row r="287" spans="1:8" ht="14">
      <c r="A287" s="108" t="s">
        <v>938</v>
      </c>
      <c r="B287" s="109" t="s">
        <v>1587</v>
      </c>
      <c r="C287" t="s">
        <v>1552</v>
      </c>
    </row>
    <row r="288" spans="1:8" ht="14">
      <c r="A288" s="108" t="s">
        <v>1079</v>
      </c>
      <c r="B288" s="109" t="s">
        <v>1922</v>
      </c>
      <c r="C288" t="s">
        <v>1607</v>
      </c>
    </row>
    <row r="289" spans="1:3" ht="14">
      <c r="A289" s="108" t="s">
        <v>1707</v>
      </c>
      <c r="B289" s="109" t="s">
        <v>1833</v>
      </c>
      <c r="C289" t="s">
        <v>726</v>
      </c>
    </row>
    <row r="290" spans="1:3" ht="14">
      <c r="A290" s="108" t="s">
        <v>1896</v>
      </c>
      <c r="B290" s="109" t="s">
        <v>1548</v>
      </c>
      <c r="C290" t="s">
        <v>1735</v>
      </c>
    </row>
    <row r="291" spans="1:3" ht="14">
      <c r="A291" s="108" t="s">
        <v>1518</v>
      </c>
      <c r="B291" s="109" t="s">
        <v>418</v>
      </c>
      <c r="C291" t="s">
        <v>860</v>
      </c>
    </row>
    <row r="292" spans="1:3" ht="14">
      <c r="A292" s="108" t="s">
        <v>1660</v>
      </c>
      <c r="B292" s="109" t="s">
        <v>1661</v>
      </c>
      <c r="C292" t="s">
        <v>1668</v>
      </c>
    </row>
    <row r="293" spans="1:3" ht="14">
      <c r="A293" s="108" t="s">
        <v>831</v>
      </c>
      <c r="B293" s="109" t="s">
        <v>1833</v>
      </c>
      <c r="C293" t="s">
        <v>726</v>
      </c>
    </row>
    <row r="294" spans="1:3" ht="14">
      <c r="A294" s="255" t="s">
        <v>1810</v>
      </c>
      <c r="B294" s="109" t="s">
        <v>1833</v>
      </c>
      <c r="C294" t="s">
        <v>978</v>
      </c>
    </row>
    <row r="295" spans="1:3" ht="14">
      <c r="A295" s="108" t="s">
        <v>1159</v>
      </c>
      <c r="B295" s="109" t="s">
        <v>1833</v>
      </c>
      <c r="C295" t="s">
        <v>676</v>
      </c>
    </row>
    <row r="296" spans="1:3" ht="14">
      <c r="A296" s="108" t="s">
        <v>976</v>
      </c>
      <c r="B296" s="109" t="s">
        <v>418</v>
      </c>
      <c r="C296" t="s">
        <v>1733</v>
      </c>
    </row>
    <row r="297" spans="1:3" ht="14">
      <c r="A297" s="108" t="s">
        <v>1065</v>
      </c>
      <c r="B297" s="109" t="s">
        <v>1833</v>
      </c>
      <c r="C297" t="s">
        <v>1607</v>
      </c>
    </row>
    <row r="298" spans="1:3" ht="14">
      <c r="A298" s="108" t="s">
        <v>895</v>
      </c>
      <c r="B298" s="109" t="s">
        <v>672</v>
      </c>
      <c r="C298" t="s">
        <v>669</v>
      </c>
    </row>
    <row r="299" spans="1:3" ht="14">
      <c r="A299" s="108" t="s">
        <v>934</v>
      </c>
      <c r="B299" s="109" t="s">
        <v>1833</v>
      </c>
      <c r="C299" t="s">
        <v>1607</v>
      </c>
    </row>
    <row r="300" spans="1:3" ht="14">
      <c r="A300" s="108" t="s">
        <v>1448</v>
      </c>
      <c r="B300" s="168" t="s">
        <v>1833</v>
      </c>
      <c r="C300" t="s">
        <v>1310</v>
      </c>
    </row>
    <row r="301" spans="1:3" ht="14">
      <c r="A301" s="108" t="s">
        <v>1975</v>
      </c>
      <c r="B301" s="109" t="s">
        <v>1833</v>
      </c>
      <c r="C301" t="s">
        <v>1739</v>
      </c>
    </row>
    <row r="302" spans="1:3" ht="14">
      <c r="A302" s="108" t="s">
        <v>1536</v>
      </c>
      <c r="B302" s="109" t="s">
        <v>1632</v>
      </c>
      <c r="C302" t="s">
        <v>690</v>
      </c>
    </row>
    <row r="303" spans="1:3" ht="14">
      <c r="A303" s="108" t="s">
        <v>405</v>
      </c>
      <c r="B303" s="109" t="s">
        <v>1922</v>
      </c>
      <c r="C303" t="s">
        <v>1740</v>
      </c>
    </row>
    <row r="304" spans="1:3" ht="14">
      <c r="A304" s="108" t="s">
        <v>586</v>
      </c>
      <c r="B304" s="109" t="s">
        <v>1833</v>
      </c>
      <c r="C304" t="s">
        <v>737</v>
      </c>
    </row>
    <row r="305" spans="1:3" ht="14">
      <c r="A305" s="108" t="s">
        <v>1225</v>
      </c>
      <c r="B305" s="109" t="s">
        <v>1833</v>
      </c>
      <c r="C305" t="s">
        <v>1090</v>
      </c>
    </row>
    <row r="306" spans="1:3" ht="14">
      <c r="A306" s="108" t="s">
        <v>1514</v>
      </c>
      <c r="B306" s="109" t="s">
        <v>1922</v>
      </c>
      <c r="C306" t="s">
        <v>1552</v>
      </c>
    </row>
    <row r="307" spans="1:3" ht="14">
      <c r="A307" s="108" t="s">
        <v>1048</v>
      </c>
      <c r="B307" s="109" t="s">
        <v>1833</v>
      </c>
      <c r="C307" t="s">
        <v>1734</v>
      </c>
    </row>
    <row r="308" spans="1:3" ht="14">
      <c r="A308" s="255" t="s">
        <v>789</v>
      </c>
      <c r="B308" s="109" t="s">
        <v>1833</v>
      </c>
      <c r="C308" t="s">
        <v>978</v>
      </c>
    </row>
    <row r="309" spans="1:3" ht="14">
      <c r="A309" s="108" t="s">
        <v>2065</v>
      </c>
      <c r="B309" s="109" t="s">
        <v>1632</v>
      </c>
      <c r="C309" t="s">
        <v>1668</v>
      </c>
    </row>
    <row r="310" spans="1:3" ht="14">
      <c r="A310" s="108" t="s">
        <v>768</v>
      </c>
      <c r="B310" s="109" t="s">
        <v>1548</v>
      </c>
      <c r="C310" t="s">
        <v>721</v>
      </c>
    </row>
    <row r="311" spans="1:3" ht="14">
      <c r="A311" s="108" t="s">
        <v>1073</v>
      </c>
      <c r="B311" s="109" t="s">
        <v>1833</v>
      </c>
      <c r="C311" t="s">
        <v>973</v>
      </c>
    </row>
    <row r="312" spans="1:3" ht="14">
      <c r="A312" s="108" t="s">
        <v>1497</v>
      </c>
      <c r="B312" s="109" t="s">
        <v>1922</v>
      </c>
      <c r="C312" t="s">
        <v>1741</v>
      </c>
    </row>
    <row r="313" spans="1:3" ht="14">
      <c r="A313" s="108" t="s">
        <v>1640</v>
      </c>
      <c r="B313" s="109" t="s">
        <v>1548</v>
      </c>
      <c r="C313" t="s">
        <v>1552</v>
      </c>
    </row>
    <row r="314" spans="1:3" ht="14">
      <c r="A314" s="108" t="s">
        <v>1914</v>
      </c>
      <c r="B314" s="109" t="s">
        <v>1833</v>
      </c>
      <c r="C314" t="s">
        <v>1734</v>
      </c>
    </row>
    <row r="315" spans="1:3" ht="14">
      <c r="A315" s="108" t="s">
        <v>896</v>
      </c>
      <c r="B315" s="109" t="s">
        <v>1180</v>
      </c>
      <c r="C315" t="s">
        <v>593</v>
      </c>
    </row>
    <row r="316" spans="1:3" ht="14">
      <c r="A316" s="108" t="s">
        <v>1872</v>
      </c>
      <c r="B316" s="109" t="s">
        <v>1632</v>
      </c>
      <c r="C316" t="s">
        <v>1668</v>
      </c>
    </row>
    <row r="317" spans="1:3" ht="14">
      <c r="A317" s="108" t="s">
        <v>427</v>
      </c>
      <c r="B317" s="109" t="s">
        <v>1632</v>
      </c>
      <c r="C317" t="s">
        <v>1270</v>
      </c>
    </row>
    <row r="318" spans="1:3" ht="14">
      <c r="A318" s="108" t="s">
        <v>1701</v>
      </c>
      <c r="B318" s="109" t="s">
        <v>1632</v>
      </c>
      <c r="C318" t="s">
        <v>690</v>
      </c>
    </row>
    <row r="319" spans="1:3" ht="14">
      <c r="A319" s="108" t="s">
        <v>1774</v>
      </c>
      <c r="B319" s="109" t="s">
        <v>1833</v>
      </c>
      <c r="C319" t="s">
        <v>737</v>
      </c>
    </row>
    <row r="320" spans="1:3" ht="14">
      <c r="A320" s="108" t="s">
        <v>1524</v>
      </c>
      <c r="B320" s="109" t="s">
        <v>1833</v>
      </c>
      <c r="C320" t="s">
        <v>1734</v>
      </c>
    </row>
    <row r="321" spans="1:8" ht="14">
      <c r="A321" s="108" t="s">
        <v>1876</v>
      </c>
      <c r="B321" s="109" t="s">
        <v>1833</v>
      </c>
      <c r="C321" t="s">
        <v>1667</v>
      </c>
    </row>
    <row r="322" spans="1:8" ht="14">
      <c r="A322" s="108" t="s">
        <v>1877</v>
      </c>
      <c r="B322" s="109" t="s">
        <v>1833</v>
      </c>
      <c r="C322" t="s">
        <v>1667</v>
      </c>
    </row>
    <row r="323" spans="1:8" ht="14">
      <c r="A323" s="108" t="s">
        <v>1489</v>
      </c>
      <c r="B323" s="109" t="s">
        <v>1833</v>
      </c>
      <c r="C323" t="s">
        <v>760</v>
      </c>
    </row>
    <row r="324" spans="1:8" ht="14">
      <c r="A324" s="108" t="s">
        <v>1490</v>
      </c>
      <c r="B324" s="109" t="s">
        <v>1833</v>
      </c>
      <c r="C324" t="s">
        <v>760</v>
      </c>
    </row>
    <row r="325" spans="1:8" ht="14">
      <c r="A325" s="108" t="s">
        <v>1523</v>
      </c>
      <c r="B325" s="109" t="s">
        <v>1833</v>
      </c>
      <c r="C325" t="s">
        <v>760</v>
      </c>
    </row>
    <row r="326" spans="1:8" ht="14">
      <c r="A326" s="108" t="s">
        <v>1714</v>
      </c>
      <c r="B326" s="109" t="s">
        <v>1833</v>
      </c>
      <c r="C326" t="s">
        <v>760</v>
      </c>
    </row>
    <row r="327" spans="1:8" ht="14">
      <c r="A327" s="108" t="s">
        <v>2021</v>
      </c>
      <c r="B327" s="109" t="s">
        <v>1833</v>
      </c>
      <c r="C327" t="s">
        <v>760</v>
      </c>
    </row>
    <row r="328" spans="1:8" ht="14">
      <c r="A328" s="108" t="s">
        <v>2022</v>
      </c>
      <c r="B328" s="109" t="s">
        <v>418</v>
      </c>
      <c r="C328" t="s">
        <v>1852</v>
      </c>
    </row>
    <row r="329" spans="1:8" ht="14">
      <c r="A329" s="108" t="s">
        <v>633</v>
      </c>
      <c r="B329" s="109" t="s">
        <v>864</v>
      </c>
      <c r="C329" t="s">
        <v>1604</v>
      </c>
    </row>
    <row r="330" spans="1:8" ht="14">
      <c r="A330" s="108" t="s">
        <v>848</v>
      </c>
      <c r="B330" s="109" t="s">
        <v>418</v>
      </c>
      <c r="C330" t="s">
        <v>1551</v>
      </c>
    </row>
    <row r="331" spans="1:8" ht="14">
      <c r="A331" s="108" t="s">
        <v>1689</v>
      </c>
      <c r="B331" s="109" t="s">
        <v>418</v>
      </c>
      <c r="C331" t="s">
        <v>1551</v>
      </c>
    </row>
    <row r="332" spans="1:8" ht="14">
      <c r="A332" s="108" t="s">
        <v>1534</v>
      </c>
      <c r="B332" s="109" t="s">
        <v>418</v>
      </c>
      <c r="C332" t="s">
        <v>1551</v>
      </c>
    </row>
    <row r="333" spans="1:8" ht="14">
      <c r="A333" s="108" t="s">
        <v>1748</v>
      </c>
      <c r="B333" s="109" t="s">
        <v>418</v>
      </c>
      <c r="C333" t="s">
        <v>1551</v>
      </c>
      <c r="H333" s="252"/>
    </row>
    <row r="334" spans="1:8" ht="14">
      <c r="A334" s="108" t="s">
        <v>1292</v>
      </c>
      <c r="B334" s="109" t="s">
        <v>418</v>
      </c>
      <c r="C334" t="s">
        <v>1551</v>
      </c>
    </row>
    <row r="335" spans="1:8" ht="14">
      <c r="A335" s="108" t="s">
        <v>1293</v>
      </c>
      <c r="B335" s="109" t="s">
        <v>1833</v>
      </c>
      <c r="C335" t="s">
        <v>973</v>
      </c>
    </row>
    <row r="336" spans="1:8" ht="14">
      <c r="A336" s="108" t="s">
        <v>1294</v>
      </c>
      <c r="B336" s="109" t="s">
        <v>418</v>
      </c>
      <c r="C336" t="s">
        <v>1551</v>
      </c>
    </row>
    <row r="337" spans="1:3" ht="14">
      <c r="A337" s="108" t="s">
        <v>1295</v>
      </c>
      <c r="B337" s="109" t="s">
        <v>1833</v>
      </c>
      <c r="C337" t="s">
        <v>2068</v>
      </c>
    </row>
    <row r="338" spans="1:3" ht="14">
      <c r="A338" s="108" t="s">
        <v>1692</v>
      </c>
      <c r="B338" s="109" t="s">
        <v>1833</v>
      </c>
      <c r="C338" t="s">
        <v>2069</v>
      </c>
    </row>
    <row r="339" spans="1:3" ht="14">
      <c r="A339" s="108" t="s">
        <v>2039</v>
      </c>
      <c r="B339" s="109" t="s">
        <v>1922</v>
      </c>
      <c r="C339" t="s">
        <v>1552</v>
      </c>
    </row>
    <row r="340" spans="1:3" ht="14">
      <c r="A340" s="108" t="s">
        <v>1277</v>
      </c>
      <c r="B340" s="109" t="s">
        <v>681</v>
      </c>
      <c r="C340" t="s">
        <v>690</v>
      </c>
    </row>
    <row r="341" spans="1:3" ht="14">
      <c r="A341" s="108" t="s">
        <v>1226</v>
      </c>
      <c r="B341" s="109" t="s">
        <v>1833</v>
      </c>
      <c r="C341" t="s">
        <v>1090</v>
      </c>
    </row>
    <row r="342" spans="1:3" ht="14">
      <c r="A342" s="108" t="s">
        <v>1821</v>
      </c>
      <c r="B342" s="109" t="s">
        <v>418</v>
      </c>
      <c r="C342" t="s">
        <v>860</v>
      </c>
    </row>
    <row r="343" spans="1:3" ht="14">
      <c r="A343" s="108" t="s">
        <v>680</v>
      </c>
      <c r="B343" s="109" t="s">
        <v>664</v>
      </c>
      <c r="C343" t="s">
        <v>878</v>
      </c>
    </row>
    <row r="344" spans="1:3" ht="14">
      <c r="A344" s="108" t="s">
        <v>1465</v>
      </c>
      <c r="B344" s="109" t="s">
        <v>1833</v>
      </c>
      <c r="C344" t="s">
        <v>1311</v>
      </c>
    </row>
    <row r="345" spans="1:3" ht="14">
      <c r="A345" s="108" t="s">
        <v>1281</v>
      </c>
      <c r="B345" s="109" t="s">
        <v>1833</v>
      </c>
      <c r="C345" t="s">
        <v>1090</v>
      </c>
    </row>
    <row r="346" spans="1:3" ht="14">
      <c r="A346" s="108" t="s">
        <v>1282</v>
      </c>
      <c r="B346" s="109" t="s">
        <v>1833</v>
      </c>
      <c r="C346" t="s">
        <v>1090</v>
      </c>
    </row>
    <row r="347" spans="1:3" ht="14">
      <c r="A347" s="108" t="s">
        <v>1723</v>
      </c>
      <c r="B347" s="109" t="s">
        <v>1548</v>
      </c>
      <c r="C347" t="s">
        <v>612</v>
      </c>
    </row>
    <row r="348" spans="1:3" ht="14">
      <c r="A348" s="108" t="s">
        <v>1842</v>
      </c>
      <c r="B348" s="109" t="s">
        <v>1833</v>
      </c>
      <c r="C348" t="s">
        <v>726</v>
      </c>
    </row>
    <row r="349" spans="1:3" ht="14">
      <c r="A349" s="108" t="s">
        <v>1242</v>
      </c>
      <c r="B349" s="109" t="s">
        <v>418</v>
      </c>
      <c r="C349" t="s">
        <v>1864</v>
      </c>
    </row>
    <row r="350" spans="1:3" ht="14">
      <c r="A350" s="108" t="s">
        <v>968</v>
      </c>
      <c r="B350" s="109" t="s">
        <v>418</v>
      </c>
      <c r="C350" t="s">
        <v>968</v>
      </c>
    </row>
    <row r="351" spans="1:3" ht="14">
      <c r="A351" s="108" t="s">
        <v>1424</v>
      </c>
      <c r="B351" s="109" t="s">
        <v>1180</v>
      </c>
      <c r="C351" t="s">
        <v>1747</v>
      </c>
    </row>
    <row r="352" spans="1:3" ht="14">
      <c r="A352" s="108" t="s">
        <v>1425</v>
      </c>
      <c r="B352" s="109" t="s">
        <v>1587</v>
      </c>
      <c r="C352" t="s">
        <v>1765</v>
      </c>
    </row>
    <row r="353" spans="1:8" ht="14">
      <c r="A353" s="108" t="s">
        <v>1244</v>
      </c>
      <c r="B353" s="109" t="s">
        <v>1833</v>
      </c>
      <c r="C353" t="s">
        <v>796</v>
      </c>
    </row>
    <row r="354" spans="1:8" ht="14">
      <c r="A354" s="108" t="s">
        <v>984</v>
      </c>
      <c r="B354" s="109" t="s">
        <v>418</v>
      </c>
      <c r="C354" t="s">
        <v>1936</v>
      </c>
    </row>
    <row r="355" spans="1:8" ht="14">
      <c r="A355" s="108" t="s">
        <v>666</v>
      </c>
      <c r="B355" s="109" t="s">
        <v>1180</v>
      </c>
      <c r="C355" t="s">
        <v>877</v>
      </c>
    </row>
    <row r="356" spans="1:8" ht="14">
      <c r="A356" s="108" t="s">
        <v>618</v>
      </c>
      <c r="B356" s="109" t="s">
        <v>1481</v>
      </c>
      <c r="C356" t="s">
        <v>532</v>
      </c>
    </row>
    <row r="357" spans="1:8" ht="14">
      <c r="A357" s="108" t="s">
        <v>1570</v>
      </c>
      <c r="B357" s="109" t="s">
        <v>1376</v>
      </c>
      <c r="C357" t="s">
        <v>690</v>
      </c>
    </row>
    <row r="358" spans="1:8" ht="14">
      <c r="A358" s="108" t="s">
        <v>515</v>
      </c>
      <c r="B358" s="109" t="s">
        <v>418</v>
      </c>
      <c r="C358" t="s">
        <v>510</v>
      </c>
    </row>
    <row r="359" spans="1:8" ht="14">
      <c r="A359" s="108" t="s">
        <v>1379</v>
      </c>
      <c r="B359" s="109" t="s">
        <v>1180</v>
      </c>
      <c r="C359" t="s">
        <v>1852</v>
      </c>
      <c r="H359" s="252"/>
    </row>
    <row r="360" spans="1:8" ht="14">
      <c r="A360" s="108" t="s">
        <v>1003</v>
      </c>
      <c r="B360" s="109" t="s">
        <v>1632</v>
      </c>
      <c r="C360" t="s">
        <v>690</v>
      </c>
    </row>
    <row r="361" spans="1:8" ht="14">
      <c r="A361" s="108" t="s">
        <v>967</v>
      </c>
      <c r="B361" s="109" t="s">
        <v>1833</v>
      </c>
      <c r="C361" t="s">
        <v>1734</v>
      </c>
    </row>
    <row r="362" spans="1:8" ht="14">
      <c r="A362" s="108" t="s">
        <v>634</v>
      </c>
      <c r="B362" s="109" t="s">
        <v>1548</v>
      </c>
      <c r="C362" t="s">
        <v>610</v>
      </c>
    </row>
    <row r="363" spans="1:8" ht="14">
      <c r="A363" s="108" t="s">
        <v>1014</v>
      </c>
      <c r="B363" s="109" t="s">
        <v>1833</v>
      </c>
      <c r="C363" t="s">
        <v>1667</v>
      </c>
    </row>
    <row r="364" spans="1:8" ht="14">
      <c r="A364" s="108" t="s">
        <v>1943</v>
      </c>
      <c r="B364" s="109" t="s">
        <v>1833</v>
      </c>
      <c r="C364" t="s">
        <v>1667</v>
      </c>
    </row>
    <row r="365" spans="1:8" ht="14">
      <c r="A365" s="108" t="s">
        <v>684</v>
      </c>
      <c r="B365" s="109" t="s">
        <v>1632</v>
      </c>
      <c r="C365" t="s">
        <v>690</v>
      </c>
    </row>
    <row r="366" spans="1:8" ht="14">
      <c r="A366" s="108" t="s">
        <v>1751</v>
      </c>
      <c r="B366" s="109" t="s">
        <v>418</v>
      </c>
      <c r="C366" t="s">
        <v>1551</v>
      </c>
    </row>
    <row r="367" spans="1:8" ht="14">
      <c r="A367" s="108" t="s">
        <v>745</v>
      </c>
      <c r="B367" s="109" t="s">
        <v>418</v>
      </c>
      <c r="C367" t="s">
        <v>1551</v>
      </c>
    </row>
    <row r="368" spans="1:8" ht="14">
      <c r="A368" s="108" t="s">
        <v>1420</v>
      </c>
      <c r="B368" s="109" t="s">
        <v>418</v>
      </c>
      <c r="C368" t="s">
        <v>1551</v>
      </c>
    </row>
    <row r="369" spans="1:7" ht="14">
      <c r="A369" s="108" t="s">
        <v>904</v>
      </c>
      <c r="B369" s="109" t="s">
        <v>418</v>
      </c>
      <c r="C369" t="s">
        <v>1551</v>
      </c>
    </row>
    <row r="370" spans="1:7" ht="14">
      <c r="A370" s="108" t="s">
        <v>1653</v>
      </c>
      <c r="B370" s="109" t="s">
        <v>418</v>
      </c>
      <c r="C370" t="s">
        <v>1551</v>
      </c>
    </row>
    <row r="371" spans="1:7" ht="14">
      <c r="A371" s="108" t="s">
        <v>1654</v>
      </c>
      <c r="B371" s="109" t="s">
        <v>1922</v>
      </c>
      <c r="C371" t="s">
        <v>1552</v>
      </c>
    </row>
    <row r="372" spans="1:7" ht="14">
      <c r="A372" s="108" t="s">
        <v>855</v>
      </c>
      <c r="B372" s="109" t="s">
        <v>1833</v>
      </c>
      <c r="C372" t="s">
        <v>1230</v>
      </c>
    </row>
    <row r="373" spans="1:7" ht="14">
      <c r="A373" s="108" t="s">
        <v>635</v>
      </c>
      <c r="B373" s="109" t="s">
        <v>1548</v>
      </c>
      <c r="C373" t="s">
        <v>610</v>
      </c>
    </row>
    <row r="374" spans="1:7" ht="14">
      <c r="A374" s="108" t="s">
        <v>1722</v>
      </c>
      <c r="B374" s="109" t="s">
        <v>1548</v>
      </c>
      <c r="C374" t="s">
        <v>612</v>
      </c>
    </row>
    <row r="375" spans="1:7" ht="14">
      <c r="A375" s="108" t="s">
        <v>1025</v>
      </c>
      <c r="B375" s="109" t="s">
        <v>1922</v>
      </c>
      <c r="C375" t="s">
        <v>1906</v>
      </c>
    </row>
    <row r="376" spans="1:7" ht="14">
      <c r="A376" s="108" t="s">
        <v>1040</v>
      </c>
      <c r="B376" s="109" t="s">
        <v>418</v>
      </c>
      <c r="C376" t="s">
        <v>1852</v>
      </c>
    </row>
    <row r="377" spans="1:7" ht="14">
      <c r="A377" s="108" t="s">
        <v>1041</v>
      </c>
      <c r="B377" s="109" t="s">
        <v>1922</v>
      </c>
      <c r="C377" t="s">
        <v>1629</v>
      </c>
    </row>
    <row r="378" spans="1:7" ht="14">
      <c r="A378" s="108" t="s">
        <v>2066</v>
      </c>
      <c r="B378" s="109" t="s">
        <v>1548</v>
      </c>
      <c r="C378" t="s">
        <v>612</v>
      </c>
    </row>
    <row r="379" spans="1:7" ht="14">
      <c r="A379" s="108" t="s">
        <v>1848</v>
      </c>
      <c r="B379" s="109" t="s">
        <v>1922</v>
      </c>
      <c r="C379" t="s">
        <v>1274</v>
      </c>
    </row>
    <row r="380" spans="1:7" ht="14">
      <c r="A380" s="108" t="s">
        <v>1506</v>
      </c>
      <c r="B380" s="109" t="s">
        <v>1632</v>
      </c>
      <c r="C380" t="s">
        <v>690</v>
      </c>
    </row>
    <row r="381" spans="1:7" ht="14">
      <c r="A381" s="108" t="s">
        <v>893</v>
      </c>
      <c r="B381" s="109" t="s">
        <v>1833</v>
      </c>
      <c r="C381" t="s">
        <v>516</v>
      </c>
      <c r="G381" s="252"/>
    </row>
    <row r="382" spans="1:7" ht="14">
      <c r="A382" s="108" t="s">
        <v>894</v>
      </c>
      <c r="B382" s="109" t="s">
        <v>1833</v>
      </c>
      <c r="C382" t="s">
        <v>992</v>
      </c>
    </row>
    <row r="383" spans="1:7" ht="14">
      <c r="A383" s="108" t="s">
        <v>1060</v>
      </c>
      <c r="B383" s="109" t="s">
        <v>1922</v>
      </c>
      <c r="C383" t="s">
        <v>1072</v>
      </c>
    </row>
    <row r="384" spans="1:7" ht="14">
      <c r="A384" s="108" t="s">
        <v>1811</v>
      </c>
      <c r="B384" s="109" t="s">
        <v>1812</v>
      </c>
      <c r="C384" t="s">
        <v>725</v>
      </c>
    </row>
    <row r="385" spans="1:3" ht="14">
      <c r="A385" s="108" t="s">
        <v>2031</v>
      </c>
      <c r="B385" s="109" t="s">
        <v>1833</v>
      </c>
      <c r="C385" t="s">
        <v>612</v>
      </c>
    </row>
    <row r="386" spans="1:3" ht="14">
      <c r="A386" s="108" t="s">
        <v>905</v>
      </c>
      <c r="B386" s="109" t="s">
        <v>1180</v>
      </c>
      <c r="C386" t="s">
        <v>1747</v>
      </c>
    </row>
    <row r="387" spans="1:3" ht="14">
      <c r="A387" s="108" t="s">
        <v>1421</v>
      </c>
      <c r="B387" s="109" t="s">
        <v>1833</v>
      </c>
      <c r="C387" t="s">
        <v>1852</v>
      </c>
    </row>
    <row r="388" spans="1:3" ht="14">
      <c r="A388" s="108" t="s">
        <v>1422</v>
      </c>
      <c r="B388" s="109" t="s">
        <v>1833</v>
      </c>
      <c r="C388" t="s">
        <v>647</v>
      </c>
    </row>
    <row r="389" spans="1:3" ht="14">
      <c r="A389" s="108" t="s">
        <v>912</v>
      </c>
      <c r="B389" s="109" t="s">
        <v>1632</v>
      </c>
      <c r="C389" t="s">
        <v>690</v>
      </c>
    </row>
    <row r="390" spans="1:3" ht="14">
      <c r="A390" s="108" t="s">
        <v>913</v>
      </c>
      <c r="B390" s="109" t="s">
        <v>1180</v>
      </c>
      <c r="C390" t="s">
        <v>877</v>
      </c>
    </row>
    <row r="391" spans="1:3" ht="14">
      <c r="A391" s="108" t="s">
        <v>914</v>
      </c>
      <c r="B391" s="109" t="s">
        <v>1632</v>
      </c>
      <c r="C391" t="s">
        <v>1852</v>
      </c>
    </row>
    <row r="392" spans="1:3" ht="14">
      <c r="A392" s="108" t="s">
        <v>1406</v>
      </c>
      <c r="B392" s="109" t="s">
        <v>1922</v>
      </c>
      <c r="C392" t="s">
        <v>1552</v>
      </c>
    </row>
    <row r="393" spans="1:3" ht="14">
      <c r="A393" s="108" t="s">
        <v>1400</v>
      </c>
      <c r="B393" s="109" t="s">
        <v>1910</v>
      </c>
      <c r="C393" t="s">
        <v>1552</v>
      </c>
    </row>
    <row r="394" spans="1:3" ht="14">
      <c r="A394" s="108" t="s">
        <v>1909</v>
      </c>
      <c r="B394" s="109" t="s">
        <v>1548</v>
      </c>
      <c r="C394" t="s">
        <v>612</v>
      </c>
    </row>
    <row r="395" spans="1:3" ht="14">
      <c r="A395" s="108" t="s">
        <v>898</v>
      </c>
      <c r="B395" s="109" t="s">
        <v>1548</v>
      </c>
      <c r="C395" t="s">
        <v>721</v>
      </c>
    </row>
    <row r="396" spans="1:3" ht="14">
      <c r="A396" s="108" t="s">
        <v>1328</v>
      </c>
      <c r="B396" s="109" t="s">
        <v>1922</v>
      </c>
      <c r="C396" t="s">
        <v>1552</v>
      </c>
    </row>
    <row r="397" spans="1:3" ht="14">
      <c r="A397" s="108" t="s">
        <v>1023</v>
      </c>
      <c r="B397" s="109" t="s">
        <v>418</v>
      </c>
      <c r="C397" t="s">
        <v>1551</v>
      </c>
    </row>
    <row r="398" spans="1:3" ht="14">
      <c r="A398" s="108" t="s">
        <v>844</v>
      </c>
      <c r="B398" s="109" t="s">
        <v>1922</v>
      </c>
      <c r="C398" t="s">
        <v>1852</v>
      </c>
    </row>
    <row r="399" spans="1:3" ht="14">
      <c r="A399" s="108" t="s">
        <v>1267</v>
      </c>
      <c r="B399" s="109" t="s">
        <v>2064</v>
      </c>
      <c r="C399" t="s">
        <v>1668</v>
      </c>
    </row>
    <row r="400" spans="1:3" ht="14">
      <c r="A400" s="108" t="s">
        <v>845</v>
      </c>
      <c r="B400" s="109" t="s">
        <v>1922</v>
      </c>
      <c r="C400" t="s">
        <v>532</v>
      </c>
    </row>
    <row r="401" spans="1:3" ht="14">
      <c r="A401" s="108" t="s">
        <v>1057</v>
      </c>
      <c r="B401" s="168" t="s">
        <v>418</v>
      </c>
      <c r="C401" t="s">
        <v>532</v>
      </c>
    </row>
    <row r="402" spans="1:3" ht="14">
      <c r="A402" s="108" t="s">
        <v>2067</v>
      </c>
      <c r="B402" s="109" t="s">
        <v>1632</v>
      </c>
      <c r="C402" t="s">
        <v>2062</v>
      </c>
    </row>
    <row r="403" spans="1:3" ht="14">
      <c r="A403" s="108" t="s">
        <v>801</v>
      </c>
      <c r="B403" s="109" t="s">
        <v>1833</v>
      </c>
      <c r="C403" t="s">
        <v>796</v>
      </c>
    </row>
    <row r="404" spans="1:3" ht="14">
      <c r="A404" s="108" t="s">
        <v>1239</v>
      </c>
      <c r="B404" s="109" t="s">
        <v>1833</v>
      </c>
      <c r="C404" t="s">
        <v>1090</v>
      </c>
    </row>
    <row r="405" spans="1:3" ht="14">
      <c r="A405" s="108" t="s">
        <v>456</v>
      </c>
      <c r="B405" s="109" t="s">
        <v>864</v>
      </c>
      <c r="C405" t="s">
        <v>620</v>
      </c>
    </row>
    <row r="406" spans="1:3" ht="14">
      <c r="A406" s="108" t="s">
        <v>1990</v>
      </c>
      <c r="B406" s="109" t="s">
        <v>1833</v>
      </c>
      <c r="C406" t="s">
        <v>700</v>
      </c>
    </row>
    <row r="407" spans="1:3" ht="14">
      <c r="A407" s="108" t="s">
        <v>619</v>
      </c>
      <c r="B407" s="168" t="s">
        <v>1833</v>
      </c>
      <c r="C407" t="s">
        <v>1310</v>
      </c>
    </row>
    <row r="408" spans="1:3" ht="14">
      <c r="A408" s="108" t="s">
        <v>1136</v>
      </c>
      <c r="B408" s="109" t="s">
        <v>418</v>
      </c>
      <c r="C408" t="s">
        <v>1733</v>
      </c>
    </row>
    <row r="409" spans="1:3" ht="14">
      <c r="A409" s="108" t="s">
        <v>1464</v>
      </c>
      <c r="B409" s="109" t="s">
        <v>1833</v>
      </c>
      <c r="C409" t="s">
        <v>1311</v>
      </c>
    </row>
    <row r="410" spans="1:3" ht="14">
      <c r="A410" s="108" t="s">
        <v>1001</v>
      </c>
      <c r="B410" s="109" t="s">
        <v>1833</v>
      </c>
      <c r="C410" t="s">
        <v>1607</v>
      </c>
    </row>
    <row r="411" spans="1:3" ht="14">
      <c r="A411" s="108" t="s">
        <v>1154</v>
      </c>
      <c r="B411" s="109" t="s">
        <v>1833</v>
      </c>
      <c r="C411" t="s">
        <v>1607</v>
      </c>
    </row>
    <row r="412" spans="1:3" ht="14">
      <c r="A412" s="108" t="s">
        <v>1398</v>
      </c>
      <c r="B412" s="109" t="s">
        <v>1833</v>
      </c>
      <c r="C412" t="s">
        <v>877</v>
      </c>
    </row>
    <row r="413" spans="1:3" ht="14">
      <c r="A413" s="108" t="s">
        <v>1349</v>
      </c>
      <c r="B413" s="109" t="s">
        <v>1833</v>
      </c>
      <c r="C413" t="s">
        <v>1566</v>
      </c>
    </row>
    <row r="414" spans="1:3" ht="14">
      <c r="A414" s="108" t="s">
        <v>1399</v>
      </c>
      <c r="B414" s="109" t="s">
        <v>1833</v>
      </c>
      <c r="C414" t="s">
        <v>1907</v>
      </c>
    </row>
    <row r="415" spans="1:3" ht="14">
      <c r="A415" s="108" t="s">
        <v>1184</v>
      </c>
      <c r="B415" s="109" t="s">
        <v>1587</v>
      </c>
      <c r="C415" t="s">
        <v>1907</v>
      </c>
    </row>
    <row r="416" spans="1:3" ht="14">
      <c r="A416" s="108" t="s">
        <v>1783</v>
      </c>
      <c r="B416" s="109" t="s">
        <v>1922</v>
      </c>
      <c r="C416" t="s">
        <v>1852</v>
      </c>
    </row>
    <row r="417" spans="1:8" ht="14">
      <c r="A417" s="108" t="s">
        <v>1948</v>
      </c>
      <c r="B417" s="109" t="s">
        <v>1632</v>
      </c>
      <c r="C417" t="s">
        <v>511</v>
      </c>
    </row>
    <row r="418" spans="1:8" ht="14">
      <c r="A418" s="108" t="s">
        <v>1978</v>
      </c>
      <c r="B418" s="109" t="s">
        <v>1632</v>
      </c>
      <c r="C418" t="s">
        <v>1852</v>
      </c>
    </row>
    <row r="419" spans="1:8" ht="14">
      <c r="A419" s="108" t="s">
        <v>1927</v>
      </c>
      <c r="B419" s="109" t="s">
        <v>719</v>
      </c>
      <c r="C419" t="s">
        <v>690</v>
      </c>
      <c r="H419" s="252"/>
    </row>
    <row r="420" spans="1:8" ht="14">
      <c r="A420" s="108" t="s">
        <v>2034</v>
      </c>
      <c r="B420" s="109" t="s">
        <v>418</v>
      </c>
      <c r="C420" t="s">
        <v>1551</v>
      </c>
    </row>
    <row r="421" spans="1:8" ht="14">
      <c r="A421" s="108" t="s">
        <v>1313</v>
      </c>
      <c r="B421" s="109" t="s">
        <v>1548</v>
      </c>
      <c r="C421" t="s">
        <v>612</v>
      </c>
    </row>
    <row r="422" spans="1:8" ht="14">
      <c r="A422" s="108" t="s">
        <v>677</v>
      </c>
      <c r="B422" s="109" t="s">
        <v>1180</v>
      </c>
      <c r="C422" t="s">
        <v>877</v>
      </c>
    </row>
    <row r="423" spans="1:8" ht="14">
      <c r="A423" s="108" t="s">
        <v>1218</v>
      </c>
      <c r="B423" s="109" t="s">
        <v>1632</v>
      </c>
      <c r="C423" t="s">
        <v>690</v>
      </c>
    </row>
    <row r="424" spans="1:8" ht="14">
      <c r="A424" s="108" t="s">
        <v>1219</v>
      </c>
      <c r="B424" s="109" t="s">
        <v>1587</v>
      </c>
      <c r="C424" t="s">
        <v>977</v>
      </c>
    </row>
    <row r="425" spans="1:8" ht="14">
      <c r="A425" s="108" t="s">
        <v>1525</v>
      </c>
      <c r="B425" s="109" t="s">
        <v>1833</v>
      </c>
      <c r="C425" t="s">
        <v>1734</v>
      </c>
    </row>
    <row r="426" spans="1:8" ht="14">
      <c r="A426" s="108" t="s">
        <v>1220</v>
      </c>
      <c r="B426" s="109" t="s">
        <v>1180</v>
      </c>
      <c r="C426" t="s">
        <v>1852</v>
      </c>
    </row>
    <row r="427" spans="1:8" ht="14">
      <c r="A427" s="108" t="s">
        <v>1221</v>
      </c>
      <c r="B427" s="109" t="s">
        <v>1833</v>
      </c>
      <c r="C427" t="s">
        <v>1667</v>
      </c>
    </row>
    <row r="428" spans="1:8" ht="14">
      <c r="A428" s="108" t="s">
        <v>1162</v>
      </c>
      <c r="B428" s="109" t="s">
        <v>598</v>
      </c>
      <c r="C428" t="s">
        <v>993</v>
      </c>
    </row>
    <row r="429" spans="1:8" ht="14">
      <c r="A429" s="108" t="s">
        <v>1860</v>
      </c>
      <c r="B429" s="109" t="s">
        <v>476</v>
      </c>
      <c r="C429" t="s">
        <v>1906</v>
      </c>
    </row>
    <row r="430" spans="1:8" ht="14">
      <c r="A430" s="108" t="s">
        <v>1387</v>
      </c>
      <c r="B430" s="109" t="s">
        <v>418</v>
      </c>
      <c r="C430" t="s">
        <v>860</v>
      </c>
    </row>
    <row r="431" spans="1:8" ht="14">
      <c r="A431" s="108" t="s">
        <v>1401</v>
      </c>
      <c r="B431" s="109" t="s">
        <v>1587</v>
      </c>
      <c r="C431" t="s">
        <v>1314</v>
      </c>
    </row>
    <row r="432" spans="1:8" ht="14">
      <c r="A432" s="108" t="s">
        <v>1067</v>
      </c>
      <c r="B432" s="109" t="s">
        <v>1632</v>
      </c>
      <c r="C432" t="s">
        <v>690</v>
      </c>
    </row>
    <row r="433" spans="1:3" ht="14">
      <c r="A433" s="108" t="s">
        <v>617</v>
      </c>
      <c r="B433" s="109" t="s">
        <v>598</v>
      </c>
      <c r="C433" t="s">
        <v>648</v>
      </c>
    </row>
    <row r="434" spans="1:3" ht="14">
      <c r="A434" s="108" t="s">
        <v>818</v>
      </c>
      <c r="B434" s="109" t="s">
        <v>1180</v>
      </c>
      <c r="C434" t="s">
        <v>877</v>
      </c>
    </row>
    <row r="435" spans="1:3" ht="14">
      <c r="A435" s="108" t="s">
        <v>819</v>
      </c>
      <c r="B435" s="109" t="s">
        <v>1180</v>
      </c>
      <c r="C435" t="s">
        <v>877</v>
      </c>
    </row>
    <row r="436" spans="1:3" ht="14">
      <c r="A436" s="108" t="s">
        <v>820</v>
      </c>
      <c r="B436" s="109" t="s">
        <v>1180</v>
      </c>
      <c r="C436" t="s">
        <v>877</v>
      </c>
    </row>
    <row r="437" spans="1:3" ht="14">
      <c r="A437" s="108" t="s">
        <v>1068</v>
      </c>
      <c r="B437" s="109" t="s">
        <v>1833</v>
      </c>
      <c r="C437" t="s">
        <v>1270</v>
      </c>
    </row>
    <row r="438" spans="1:3" ht="14">
      <c r="A438" s="108" t="s">
        <v>1479</v>
      </c>
      <c r="B438" s="109" t="s">
        <v>1833</v>
      </c>
      <c r="C438" t="s">
        <v>1667</v>
      </c>
    </row>
    <row r="439" spans="1:3" ht="14">
      <c r="A439" s="108" t="s">
        <v>1621</v>
      </c>
      <c r="B439" s="109" t="s">
        <v>1833</v>
      </c>
      <c r="C439" t="s">
        <v>974</v>
      </c>
    </row>
    <row r="440" spans="1:3" ht="14">
      <c r="A440" s="108" t="s">
        <v>531</v>
      </c>
      <c r="B440" s="109" t="s">
        <v>1922</v>
      </c>
      <c r="C440" t="s">
        <v>532</v>
      </c>
    </row>
    <row r="441" spans="1:3" ht="14">
      <c r="A441" s="108" t="s">
        <v>1013</v>
      </c>
      <c r="B441" s="109" t="s">
        <v>1922</v>
      </c>
      <c r="C441" t="s">
        <v>1552</v>
      </c>
    </row>
    <row r="442" spans="1:3" ht="14">
      <c r="A442" s="108" t="s">
        <v>727</v>
      </c>
      <c r="B442" s="109" t="s">
        <v>1632</v>
      </c>
      <c r="C442" t="s">
        <v>690</v>
      </c>
    </row>
    <row r="443" spans="1:3" ht="14">
      <c r="A443" s="108" t="s">
        <v>1461</v>
      </c>
      <c r="B443" s="109" t="s">
        <v>1833</v>
      </c>
      <c r="C443" t="s">
        <v>1734</v>
      </c>
    </row>
    <row r="444" spans="1:3" ht="14">
      <c r="A444" s="108" t="s">
        <v>728</v>
      </c>
      <c r="B444" s="109" t="s">
        <v>1180</v>
      </c>
      <c r="C444" t="s">
        <v>1747</v>
      </c>
    </row>
    <row r="445" spans="1:3" ht="14">
      <c r="A445" s="108" t="s">
        <v>729</v>
      </c>
      <c r="B445" s="109" t="s">
        <v>1062</v>
      </c>
      <c r="C445" t="s">
        <v>1269</v>
      </c>
    </row>
    <row r="446" spans="1:3" ht="14">
      <c r="A446" s="108" t="s">
        <v>1178</v>
      </c>
      <c r="B446" s="109" t="s">
        <v>1833</v>
      </c>
      <c r="C446" t="s">
        <v>992</v>
      </c>
    </row>
    <row r="447" spans="1:3" ht="14">
      <c r="A447" s="108" t="s">
        <v>1050</v>
      </c>
      <c r="B447" s="109" t="s">
        <v>1180</v>
      </c>
      <c r="C447" t="s">
        <v>1566</v>
      </c>
    </row>
    <row r="448" spans="1:3" ht="14">
      <c r="A448" s="108" t="s">
        <v>665</v>
      </c>
      <c r="B448" s="109" t="s">
        <v>1180</v>
      </c>
      <c r="C448" t="s">
        <v>877</v>
      </c>
    </row>
    <row r="449" spans="1:3" ht="14">
      <c r="A449" s="108" t="s">
        <v>1199</v>
      </c>
      <c r="B449" s="109" t="s">
        <v>1922</v>
      </c>
      <c r="C449" t="s">
        <v>991</v>
      </c>
    </row>
    <row r="450" spans="1:3" ht="14">
      <c r="A450" s="108" t="s">
        <v>1639</v>
      </c>
      <c r="B450" s="109" t="s">
        <v>418</v>
      </c>
      <c r="C450" t="s">
        <v>1551</v>
      </c>
    </row>
    <row r="451" spans="1:3" ht="14">
      <c r="A451" s="108" t="s">
        <v>1485</v>
      </c>
      <c r="B451" s="109" t="s">
        <v>1922</v>
      </c>
      <c r="C451" t="s">
        <v>1552</v>
      </c>
    </row>
    <row r="452" spans="1:3" ht="14">
      <c r="A452" s="108" t="s">
        <v>1071</v>
      </c>
      <c r="B452" s="109" t="s">
        <v>1922</v>
      </c>
      <c r="C452" t="s">
        <v>1552</v>
      </c>
    </row>
    <row r="453" spans="1:3" ht="14">
      <c r="A453" s="108" t="s">
        <v>538</v>
      </c>
      <c r="B453" s="109" t="s">
        <v>1481</v>
      </c>
      <c r="C453" t="s">
        <v>1229</v>
      </c>
    </row>
    <row r="454" spans="1:3" ht="14">
      <c r="A454" s="108" t="s">
        <v>1069</v>
      </c>
      <c r="B454" s="109" t="s">
        <v>1922</v>
      </c>
      <c r="C454" t="s">
        <v>899</v>
      </c>
    </row>
    <row r="455" spans="1:3" ht="14">
      <c r="A455" s="108" t="s">
        <v>636</v>
      </c>
      <c r="B455" s="109" t="s">
        <v>1548</v>
      </c>
      <c r="C455" t="s">
        <v>610</v>
      </c>
    </row>
    <row r="456" spans="1:3" ht="14">
      <c r="A456" s="108" t="s">
        <v>611</v>
      </c>
      <c r="B456" s="109" t="s">
        <v>1548</v>
      </c>
      <c r="C456" t="s">
        <v>610</v>
      </c>
    </row>
    <row r="457" spans="1:3" ht="14">
      <c r="A457" s="108" t="s">
        <v>1732</v>
      </c>
      <c r="B457" s="168" t="s">
        <v>1833</v>
      </c>
      <c r="C457" t="s">
        <v>1310</v>
      </c>
    </row>
    <row r="458" spans="1:3" ht="14">
      <c r="A458" s="108" t="s">
        <v>1956</v>
      </c>
      <c r="B458" s="109" t="s">
        <v>1266</v>
      </c>
      <c r="C458" t="s">
        <v>991</v>
      </c>
    </row>
    <row r="459" spans="1:3" ht="14">
      <c r="A459" s="108" t="s">
        <v>1227</v>
      </c>
      <c r="B459" s="109" t="s">
        <v>418</v>
      </c>
      <c r="C459" t="s">
        <v>510</v>
      </c>
    </row>
    <row r="460" spans="1:3" ht="14">
      <c r="A460" s="108" t="s">
        <v>909</v>
      </c>
      <c r="B460" s="109" t="s">
        <v>418</v>
      </c>
      <c r="C460" t="s">
        <v>860</v>
      </c>
    </row>
    <row r="461" spans="1:3" ht="14">
      <c r="A461" s="108" t="s">
        <v>994</v>
      </c>
      <c r="B461" s="109" t="s">
        <v>418</v>
      </c>
      <c r="C461" t="s">
        <v>860</v>
      </c>
    </row>
    <row r="462" spans="1:3" ht="14">
      <c r="A462" s="108" t="s">
        <v>995</v>
      </c>
      <c r="B462" s="109" t="s">
        <v>1922</v>
      </c>
      <c r="C462" t="s">
        <v>1552</v>
      </c>
    </row>
    <row r="463" spans="1:3" ht="14">
      <c r="A463" s="108" t="s">
        <v>996</v>
      </c>
      <c r="B463" s="109" t="s">
        <v>1833</v>
      </c>
      <c r="C463" t="s">
        <v>1566</v>
      </c>
    </row>
    <row r="464" spans="1:3" ht="14">
      <c r="A464" s="108" t="s">
        <v>853</v>
      </c>
      <c r="B464" s="109" t="s">
        <v>598</v>
      </c>
      <c r="C464" t="s">
        <v>854</v>
      </c>
    </row>
    <row r="465" spans="1:8" ht="14">
      <c r="A465" s="108" t="s">
        <v>1634</v>
      </c>
      <c r="B465" s="109" t="s">
        <v>1922</v>
      </c>
      <c r="C465" t="s">
        <v>1274</v>
      </c>
    </row>
    <row r="466" spans="1:8" ht="14">
      <c r="A466" s="108" t="s">
        <v>1347</v>
      </c>
      <c r="B466" s="109" t="s">
        <v>1833</v>
      </c>
      <c r="C466" t="s">
        <v>725</v>
      </c>
    </row>
    <row r="467" spans="1:8" ht="14">
      <c r="A467" s="108" t="s">
        <v>758</v>
      </c>
      <c r="B467" s="109" t="s">
        <v>1833</v>
      </c>
      <c r="C467" t="s">
        <v>759</v>
      </c>
    </row>
    <row r="468" spans="1:8" ht="14">
      <c r="A468" s="108" t="s">
        <v>1612</v>
      </c>
      <c r="B468" s="109" t="s">
        <v>1833</v>
      </c>
      <c r="C468" t="s">
        <v>759</v>
      </c>
      <c r="H468" s="252"/>
    </row>
    <row r="469" spans="1:8" ht="14">
      <c r="A469" s="108" t="s">
        <v>1374</v>
      </c>
      <c r="B469" s="109" t="s">
        <v>1632</v>
      </c>
      <c r="C469" t="s">
        <v>690</v>
      </c>
    </row>
    <row r="470" spans="1:8" ht="14">
      <c r="A470" s="108" t="s">
        <v>1613</v>
      </c>
      <c r="B470" s="109" t="s">
        <v>1833</v>
      </c>
      <c r="C470" t="s">
        <v>759</v>
      </c>
    </row>
    <row r="471" spans="1:8" ht="14">
      <c r="A471" s="108" t="s">
        <v>1505</v>
      </c>
      <c r="B471" s="109" t="s">
        <v>1833</v>
      </c>
      <c r="C471" t="s">
        <v>899</v>
      </c>
    </row>
    <row r="472" spans="1:8" ht="14">
      <c r="A472" s="108" t="s">
        <v>710</v>
      </c>
      <c r="B472" s="109" t="s">
        <v>1922</v>
      </c>
      <c r="C472" t="s">
        <v>1906</v>
      </c>
    </row>
    <row r="473" spans="1:8" ht="14">
      <c r="A473" s="108" t="s">
        <v>1614</v>
      </c>
      <c r="B473" s="109" t="s">
        <v>1833</v>
      </c>
      <c r="C473" t="s">
        <v>759</v>
      </c>
    </row>
    <row r="474" spans="1:8" ht="14">
      <c r="A474" s="108"/>
    </row>
  </sheetData>
  <autoFilter ref="A1:C473"/>
  <sortState ref="A2:C471">
    <sortCondition ref="A3:A471"/>
  </sortState>
  <phoneticPr fontId="6"/>
  <pageMargins left="0.75" right="0.75" top="1" bottom="1" header="0.5" footer="0.5"/>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59"/>
  <sheetViews>
    <sheetView workbookViewId="0"/>
  </sheetViews>
  <sheetFormatPr baseColWidth="10" defaultRowHeight="13"/>
  <cols>
    <col min="1" max="1" width="23.1640625" style="262" customWidth="1"/>
    <col min="2" max="2" width="21.1640625" style="266" customWidth="1"/>
    <col min="3" max="3" width="16.5" style="267" customWidth="1"/>
    <col min="4" max="4" width="101.6640625" style="262" customWidth="1"/>
    <col min="5" max="16384" width="10.83203125" style="262"/>
  </cols>
  <sheetData>
    <row r="1" spans="1:4" ht="15">
      <c r="A1" s="260" t="s">
        <v>1728</v>
      </c>
      <c r="B1" s="258" t="s">
        <v>1368</v>
      </c>
      <c r="C1" s="261" t="s">
        <v>1370</v>
      </c>
      <c r="D1" s="260" t="s">
        <v>1369</v>
      </c>
    </row>
    <row r="2" spans="1:4" ht="15">
      <c r="A2" s="263" t="s">
        <v>1449</v>
      </c>
      <c r="B2" s="257">
        <v>3</v>
      </c>
      <c r="C2" s="264">
        <v>1</v>
      </c>
      <c r="D2" s="265" t="s">
        <v>1110</v>
      </c>
    </row>
    <row r="3" spans="1:4" ht="15">
      <c r="A3" s="263" t="s">
        <v>1111</v>
      </c>
      <c r="B3" s="257">
        <v>3</v>
      </c>
      <c r="C3" s="264">
        <v>1</v>
      </c>
      <c r="D3" s="265" t="s">
        <v>1112</v>
      </c>
    </row>
    <row r="4" spans="1:4" ht="15">
      <c r="A4" s="263" t="s">
        <v>1113</v>
      </c>
      <c r="B4" s="257">
        <v>3</v>
      </c>
      <c r="C4" s="264">
        <v>1</v>
      </c>
      <c r="D4" s="265" t="s">
        <v>1365</v>
      </c>
    </row>
    <row r="5" spans="1:4" ht="30">
      <c r="A5" s="263" t="s">
        <v>954</v>
      </c>
      <c r="B5" s="257">
        <v>1</v>
      </c>
      <c r="C5" s="264">
        <v>3</v>
      </c>
      <c r="D5" s="265" t="s">
        <v>644</v>
      </c>
    </row>
    <row r="6" spans="1:4" ht="30">
      <c r="A6" s="263" t="s">
        <v>941</v>
      </c>
      <c r="B6" s="257">
        <v>3</v>
      </c>
      <c r="C6" s="264">
        <v>5</v>
      </c>
      <c r="D6" s="265" t="s">
        <v>628</v>
      </c>
    </row>
    <row r="7" spans="1:4" ht="15">
      <c r="A7" s="263" t="s">
        <v>1366</v>
      </c>
      <c r="B7" s="257">
        <v>3</v>
      </c>
      <c r="C7" s="264">
        <v>1</v>
      </c>
      <c r="D7" s="265" t="s">
        <v>1367</v>
      </c>
    </row>
    <row r="8" spans="1:4" ht="60">
      <c r="A8" s="263" t="s">
        <v>766</v>
      </c>
      <c r="B8" s="257">
        <v>6</v>
      </c>
      <c r="C8" s="264">
        <v>2</v>
      </c>
      <c r="D8" s="265" t="s">
        <v>875</v>
      </c>
    </row>
    <row r="9" spans="1:4" ht="30">
      <c r="A9" s="263" t="s">
        <v>876</v>
      </c>
      <c r="B9" s="257">
        <v>2</v>
      </c>
      <c r="C9" s="264">
        <v>2</v>
      </c>
      <c r="D9" s="265" t="s">
        <v>565</v>
      </c>
    </row>
    <row r="10" spans="1:4" ht="15">
      <c r="A10" s="263" t="s">
        <v>566</v>
      </c>
      <c r="B10" s="257">
        <v>1</v>
      </c>
      <c r="C10" s="264">
        <v>1</v>
      </c>
      <c r="D10" s="265" t="s">
        <v>567</v>
      </c>
    </row>
    <row r="11" spans="1:4" ht="30">
      <c r="A11" s="263" t="s">
        <v>568</v>
      </c>
      <c r="B11" s="257">
        <v>1</v>
      </c>
      <c r="C11" s="264">
        <v>1</v>
      </c>
      <c r="D11" s="265" t="s">
        <v>498</v>
      </c>
    </row>
    <row r="12" spans="1:4" ht="30">
      <c r="A12" s="263" t="s">
        <v>499</v>
      </c>
      <c r="B12" s="257">
        <v>2</v>
      </c>
      <c r="C12" s="264">
        <v>2</v>
      </c>
      <c r="D12" s="265" t="s">
        <v>445</v>
      </c>
    </row>
    <row r="13" spans="1:4" ht="30">
      <c r="A13" s="263" t="s">
        <v>446</v>
      </c>
      <c r="B13" s="257">
        <v>3</v>
      </c>
      <c r="C13" s="264">
        <v>2</v>
      </c>
      <c r="D13" s="265" t="s">
        <v>512</v>
      </c>
    </row>
    <row r="14" spans="1:4" ht="30">
      <c r="A14" s="263" t="s">
        <v>513</v>
      </c>
      <c r="B14" s="257">
        <v>3</v>
      </c>
      <c r="C14" s="264">
        <v>2</v>
      </c>
      <c r="D14" s="265" t="s">
        <v>452</v>
      </c>
    </row>
    <row r="15" spans="1:4" ht="60">
      <c r="A15" s="263" t="s">
        <v>453</v>
      </c>
      <c r="B15" s="257">
        <v>8</v>
      </c>
      <c r="C15" s="264">
        <v>2</v>
      </c>
      <c r="D15" s="265" t="s">
        <v>1059</v>
      </c>
    </row>
    <row r="16" spans="1:4" ht="15">
      <c r="A16" s="263" t="s">
        <v>1234</v>
      </c>
      <c r="B16" s="257">
        <v>2</v>
      </c>
      <c r="C16" s="264">
        <v>1</v>
      </c>
      <c r="D16" s="265" t="s">
        <v>1235</v>
      </c>
    </row>
    <row r="17" spans="1:4" ht="30">
      <c r="A17" s="263" t="s">
        <v>1236</v>
      </c>
      <c r="B17" s="257">
        <v>1</v>
      </c>
      <c r="C17" s="264">
        <v>3</v>
      </c>
      <c r="D17" s="265" t="s">
        <v>836</v>
      </c>
    </row>
    <row r="18" spans="1:4" ht="45">
      <c r="A18" s="263" t="s">
        <v>694</v>
      </c>
      <c r="B18" s="257">
        <v>6</v>
      </c>
      <c r="C18" s="264">
        <v>1</v>
      </c>
      <c r="D18" s="265" t="s">
        <v>810</v>
      </c>
    </row>
    <row r="19" spans="1:4" ht="15">
      <c r="A19" s="263" t="s">
        <v>811</v>
      </c>
      <c r="B19" s="257">
        <v>3</v>
      </c>
      <c r="C19" s="264">
        <v>3</v>
      </c>
      <c r="D19" s="265" t="s">
        <v>812</v>
      </c>
    </row>
    <row r="20" spans="1:4" ht="15">
      <c r="A20" s="263" t="s">
        <v>813</v>
      </c>
      <c r="B20" s="257">
        <v>1</v>
      </c>
      <c r="C20" s="264">
        <v>3</v>
      </c>
      <c r="D20" s="265" t="s">
        <v>631</v>
      </c>
    </row>
    <row r="21" spans="1:4" ht="45">
      <c r="A21" s="263" t="s">
        <v>632</v>
      </c>
      <c r="B21" s="257">
        <v>1</v>
      </c>
      <c r="C21" s="264">
        <v>2</v>
      </c>
      <c r="D21" s="265" t="s">
        <v>534</v>
      </c>
    </row>
    <row r="22" spans="1:4" ht="30">
      <c r="A22" s="263" t="s">
        <v>535</v>
      </c>
      <c r="B22" s="257">
        <v>3</v>
      </c>
      <c r="C22" s="264">
        <v>2</v>
      </c>
      <c r="D22" s="265" t="s">
        <v>474</v>
      </c>
    </row>
    <row r="23" spans="1:4" ht="45">
      <c r="A23" s="263" t="s">
        <v>475</v>
      </c>
      <c r="B23" s="257">
        <v>1</v>
      </c>
      <c r="C23" s="264">
        <v>2</v>
      </c>
      <c r="D23" s="265" t="s">
        <v>478</v>
      </c>
    </row>
    <row r="24" spans="1:4" ht="30">
      <c r="A24" s="263" t="s">
        <v>479</v>
      </c>
      <c r="B24" s="257">
        <v>1</v>
      </c>
      <c r="C24" s="264">
        <v>3</v>
      </c>
      <c r="D24" s="265" t="s">
        <v>480</v>
      </c>
    </row>
    <row r="25" spans="1:4" ht="45">
      <c r="A25" s="263" t="s">
        <v>481</v>
      </c>
      <c r="B25" s="257">
        <v>6</v>
      </c>
      <c r="C25" s="264">
        <v>1</v>
      </c>
      <c r="D25" s="265" t="s">
        <v>548</v>
      </c>
    </row>
    <row r="26" spans="1:4" ht="30">
      <c r="A26" s="263" t="s">
        <v>549</v>
      </c>
      <c r="B26" s="257">
        <v>1</v>
      </c>
      <c r="C26" s="264">
        <v>4</v>
      </c>
      <c r="D26" s="265" t="s">
        <v>550</v>
      </c>
    </row>
    <row r="27" spans="1:4" ht="15">
      <c r="A27" s="263" t="s">
        <v>551</v>
      </c>
      <c r="B27" s="257">
        <v>1</v>
      </c>
      <c r="C27" s="264">
        <v>3</v>
      </c>
      <c r="D27" s="265" t="s">
        <v>1141</v>
      </c>
    </row>
    <row r="28" spans="1:4" ht="30">
      <c r="A28" s="263" t="s">
        <v>1142</v>
      </c>
      <c r="B28" s="257">
        <v>1</v>
      </c>
      <c r="C28" s="264">
        <v>1</v>
      </c>
      <c r="D28" s="265" t="s">
        <v>1143</v>
      </c>
    </row>
    <row r="29" spans="1:4" ht="30">
      <c r="A29" s="263" t="s">
        <v>1144</v>
      </c>
      <c r="B29" s="257">
        <v>1</v>
      </c>
      <c r="C29" s="264">
        <v>3</v>
      </c>
      <c r="D29" s="265" t="s">
        <v>485</v>
      </c>
    </row>
    <row r="30" spans="1:4" ht="30">
      <c r="A30" s="263" t="s">
        <v>741</v>
      </c>
      <c r="B30" s="257">
        <v>1</v>
      </c>
      <c r="C30" s="264">
        <v>3</v>
      </c>
      <c r="D30" s="265" t="s">
        <v>495</v>
      </c>
    </row>
    <row r="31" spans="1:4" ht="30">
      <c r="A31" s="263" t="s">
        <v>496</v>
      </c>
      <c r="B31" s="257">
        <v>1</v>
      </c>
      <c r="C31" s="264">
        <v>2</v>
      </c>
      <c r="D31" s="265" t="s">
        <v>497</v>
      </c>
    </row>
    <row r="32" spans="1:4" ht="45">
      <c r="A32" s="263" t="s">
        <v>706</v>
      </c>
      <c r="B32" s="257">
        <v>1</v>
      </c>
      <c r="C32" s="264">
        <v>3</v>
      </c>
      <c r="D32" s="265" t="s">
        <v>441</v>
      </c>
    </row>
    <row r="33" spans="1:4" ht="30">
      <c r="A33" s="263" t="s">
        <v>442</v>
      </c>
      <c r="B33" s="257">
        <v>1</v>
      </c>
      <c r="C33" s="264">
        <v>2</v>
      </c>
      <c r="D33" s="265" t="s">
        <v>434</v>
      </c>
    </row>
    <row r="34" spans="1:4" ht="45">
      <c r="A34" s="263" t="s">
        <v>500</v>
      </c>
      <c r="B34" s="257">
        <v>6</v>
      </c>
      <c r="C34" s="264">
        <v>1</v>
      </c>
      <c r="D34" s="265" t="s">
        <v>508</v>
      </c>
    </row>
    <row r="35" spans="1:4" ht="15">
      <c r="A35" s="263" t="s">
        <v>509</v>
      </c>
      <c r="B35" s="257">
        <v>1</v>
      </c>
      <c r="C35" s="264">
        <v>3</v>
      </c>
      <c r="D35" s="265" t="s">
        <v>443</v>
      </c>
    </row>
    <row r="36" spans="1:4" ht="30">
      <c r="A36" s="263" t="s">
        <v>444</v>
      </c>
      <c r="B36" s="257">
        <v>1</v>
      </c>
      <c r="C36" s="264">
        <v>3</v>
      </c>
      <c r="D36" s="265" t="s">
        <v>447</v>
      </c>
    </row>
    <row r="37" spans="1:4" ht="30">
      <c r="A37" s="263" t="s">
        <v>437</v>
      </c>
      <c r="B37" s="257">
        <v>3</v>
      </c>
      <c r="C37" s="264">
        <v>1</v>
      </c>
      <c r="D37" s="265" t="s">
        <v>450</v>
      </c>
    </row>
    <row r="38" spans="1:4" ht="30">
      <c r="A38" s="263" t="s">
        <v>451</v>
      </c>
      <c r="B38" s="257">
        <v>1</v>
      </c>
      <c r="C38" s="264">
        <v>2</v>
      </c>
      <c r="D38" s="265" t="s">
        <v>1051</v>
      </c>
    </row>
    <row r="39" spans="1:4" ht="30">
      <c r="A39" s="263" t="s">
        <v>1052</v>
      </c>
      <c r="B39" s="257">
        <v>1</v>
      </c>
      <c r="C39" s="264">
        <v>10</v>
      </c>
      <c r="D39" s="265" t="s">
        <v>448</v>
      </c>
    </row>
    <row r="40" spans="1:4" ht="30">
      <c r="A40" s="263" t="s">
        <v>449</v>
      </c>
      <c r="B40" s="257">
        <v>3</v>
      </c>
      <c r="C40" s="264">
        <v>1</v>
      </c>
      <c r="D40" s="265" t="s">
        <v>528</v>
      </c>
    </row>
    <row r="41" spans="1:4" ht="30">
      <c r="A41" s="263" t="s">
        <v>643</v>
      </c>
      <c r="B41" s="257">
        <v>1</v>
      </c>
      <c r="C41" s="264">
        <v>5</v>
      </c>
      <c r="D41" s="265" t="s">
        <v>350</v>
      </c>
    </row>
    <row r="42" spans="1:4" ht="45">
      <c r="A42" s="263" t="s">
        <v>351</v>
      </c>
      <c r="B42" s="257">
        <v>2</v>
      </c>
      <c r="C42" s="264">
        <v>5</v>
      </c>
      <c r="D42" s="265" t="s">
        <v>629</v>
      </c>
    </row>
    <row r="43" spans="1:4" ht="15">
      <c r="A43" s="263" t="s">
        <v>630</v>
      </c>
      <c r="B43" s="257">
        <v>1</v>
      </c>
      <c r="C43" s="264">
        <v>2</v>
      </c>
      <c r="D43" s="265" t="s">
        <v>464</v>
      </c>
    </row>
    <row r="44" spans="1:4" ht="30">
      <c r="A44" s="263" t="s">
        <v>465</v>
      </c>
      <c r="B44" s="257">
        <v>1</v>
      </c>
      <c r="C44" s="264">
        <v>3</v>
      </c>
      <c r="D44" s="265" t="s">
        <v>403</v>
      </c>
    </row>
    <row r="45" spans="1:4" ht="45">
      <c r="A45" s="263" t="s">
        <v>404</v>
      </c>
      <c r="B45" s="257">
        <v>8</v>
      </c>
      <c r="C45" s="264">
        <v>1</v>
      </c>
      <c r="D45" s="265" t="s">
        <v>377</v>
      </c>
    </row>
    <row r="46" spans="1:4" ht="45">
      <c r="A46" s="263" t="s">
        <v>378</v>
      </c>
      <c r="B46" s="257">
        <v>8</v>
      </c>
      <c r="C46" s="264">
        <v>1</v>
      </c>
      <c r="D46" s="265" t="s">
        <v>473</v>
      </c>
    </row>
    <row r="47" spans="1:4" ht="60">
      <c r="A47" s="263" t="s">
        <v>539</v>
      </c>
      <c r="B47" s="257">
        <v>1</v>
      </c>
      <c r="C47" s="264">
        <v>10</v>
      </c>
      <c r="D47" s="265" t="s">
        <v>414</v>
      </c>
    </row>
    <row r="48" spans="1:4" ht="15">
      <c r="A48" s="263" t="s">
        <v>415</v>
      </c>
      <c r="B48" s="257">
        <v>1</v>
      </c>
      <c r="C48" s="264">
        <v>6</v>
      </c>
      <c r="D48" s="265" t="s">
        <v>416</v>
      </c>
    </row>
    <row r="49" spans="1:4" ht="30">
      <c r="A49" s="263" t="s">
        <v>413</v>
      </c>
      <c r="B49" s="257">
        <v>10</v>
      </c>
      <c r="C49" s="264">
        <v>3</v>
      </c>
      <c r="D49" s="265" t="s">
        <v>374</v>
      </c>
    </row>
    <row r="50" spans="1:4" ht="45">
      <c r="A50" s="263" t="s">
        <v>417</v>
      </c>
      <c r="B50" s="257">
        <v>5</v>
      </c>
      <c r="C50" s="264">
        <v>2</v>
      </c>
      <c r="D50" s="265" t="s">
        <v>491</v>
      </c>
    </row>
    <row r="51" spans="1:4" ht="30">
      <c r="A51" s="263" t="s">
        <v>492</v>
      </c>
      <c r="B51" s="257">
        <v>1</v>
      </c>
      <c r="C51" s="264">
        <v>1</v>
      </c>
      <c r="D51" s="265" t="s">
        <v>431</v>
      </c>
    </row>
    <row r="52" spans="1:4" ht="30">
      <c r="A52" s="263" t="s">
        <v>1376</v>
      </c>
      <c r="B52" s="257">
        <v>1</v>
      </c>
      <c r="C52" s="264">
        <v>2</v>
      </c>
      <c r="D52" s="265" t="s">
        <v>493</v>
      </c>
    </row>
    <row r="53" spans="1:4" ht="30">
      <c r="A53" s="263" t="s">
        <v>494</v>
      </c>
      <c r="B53" s="257">
        <v>1</v>
      </c>
      <c r="C53" s="264">
        <v>5</v>
      </c>
      <c r="D53" s="265" t="s">
        <v>432</v>
      </c>
    </row>
    <row r="54" spans="1:4" ht="30">
      <c r="A54" s="263" t="s">
        <v>433</v>
      </c>
      <c r="B54" s="257">
        <v>1</v>
      </c>
      <c r="C54" s="264">
        <v>1</v>
      </c>
      <c r="D54" s="265" t="s">
        <v>381</v>
      </c>
    </row>
    <row r="55" spans="1:4" ht="30">
      <c r="A55" s="263" t="s">
        <v>382</v>
      </c>
      <c r="B55" s="257">
        <v>6</v>
      </c>
      <c r="C55" s="264">
        <v>2</v>
      </c>
      <c r="D55" s="265" t="s">
        <v>439</v>
      </c>
    </row>
    <row r="56" spans="1:4" ht="30">
      <c r="A56" s="263" t="s">
        <v>360</v>
      </c>
      <c r="B56" s="257">
        <v>1</v>
      </c>
      <c r="C56" s="264">
        <v>2</v>
      </c>
      <c r="D56" s="265" t="s">
        <v>361</v>
      </c>
    </row>
    <row r="57" spans="1:4" ht="45">
      <c r="A57" s="263" t="s">
        <v>1256</v>
      </c>
      <c r="B57" s="257">
        <v>1</v>
      </c>
      <c r="C57" s="264" t="s">
        <v>362</v>
      </c>
      <c r="D57" s="265" t="s">
        <v>21</v>
      </c>
    </row>
    <row r="58" spans="1:4" ht="15">
      <c r="A58" s="263" t="s">
        <v>363</v>
      </c>
      <c r="B58" s="257">
        <v>1</v>
      </c>
      <c r="C58" s="264">
        <v>3</v>
      </c>
      <c r="D58" s="265" t="s">
        <v>454</v>
      </c>
    </row>
    <row r="59" spans="1:4" ht="15">
      <c r="A59" s="263" t="s">
        <v>455</v>
      </c>
      <c r="B59" s="257">
        <v>2</v>
      </c>
      <c r="C59" s="264">
        <v>3</v>
      </c>
      <c r="D59" s="265" t="s">
        <v>438</v>
      </c>
    </row>
    <row r="60" spans="1:4" ht="15">
      <c r="A60" s="263" t="s">
        <v>387</v>
      </c>
      <c r="B60" s="257">
        <v>3</v>
      </c>
      <c r="C60" s="264">
        <v>2</v>
      </c>
      <c r="D60" s="265" t="s">
        <v>400</v>
      </c>
    </row>
    <row r="61" spans="1:4" ht="30">
      <c r="A61" s="263" t="s">
        <v>366</v>
      </c>
      <c r="B61" s="257">
        <v>1</v>
      </c>
      <c r="C61" s="264">
        <v>4</v>
      </c>
      <c r="D61" s="265" t="s">
        <v>388</v>
      </c>
    </row>
    <row r="62" spans="1:4" ht="15">
      <c r="A62" s="263" t="s">
        <v>469</v>
      </c>
      <c r="B62" s="257">
        <v>1</v>
      </c>
      <c r="C62" s="264">
        <v>2</v>
      </c>
      <c r="D62" s="265" t="s">
        <v>472</v>
      </c>
    </row>
    <row r="63" spans="1:4" ht="60">
      <c r="A63" s="263" t="s">
        <v>463</v>
      </c>
      <c r="B63" s="257">
        <v>10</v>
      </c>
      <c r="C63" s="264">
        <v>1</v>
      </c>
      <c r="D63" s="265" t="s">
        <v>393</v>
      </c>
    </row>
    <row r="64" spans="1:4" ht="15">
      <c r="A64" s="263" t="s">
        <v>394</v>
      </c>
      <c r="B64" s="257">
        <v>1</v>
      </c>
      <c r="C64" s="264">
        <v>4</v>
      </c>
      <c r="D64" s="265" t="s">
        <v>459</v>
      </c>
    </row>
    <row r="65" spans="1:4" ht="15">
      <c r="A65" s="263" t="s">
        <v>460</v>
      </c>
      <c r="B65" s="257">
        <v>3</v>
      </c>
      <c r="C65" s="264">
        <v>1</v>
      </c>
      <c r="D65" s="265" t="s">
        <v>470</v>
      </c>
    </row>
    <row r="66" spans="1:4" ht="15">
      <c r="A66" s="263" t="s">
        <v>471</v>
      </c>
      <c r="B66" s="257">
        <v>3</v>
      </c>
      <c r="C66" s="264">
        <v>1</v>
      </c>
      <c r="D66" s="265" t="s">
        <v>461</v>
      </c>
    </row>
    <row r="67" spans="1:4" ht="30">
      <c r="A67" s="263" t="s">
        <v>462</v>
      </c>
      <c r="B67" s="257">
        <v>2</v>
      </c>
      <c r="C67" s="264">
        <v>2</v>
      </c>
      <c r="D67" s="265" t="s">
        <v>346</v>
      </c>
    </row>
    <row r="68" spans="1:4" ht="15">
      <c r="A68" s="263" t="s">
        <v>347</v>
      </c>
      <c r="B68" s="257">
        <v>1</v>
      </c>
      <c r="C68" s="264">
        <v>5</v>
      </c>
      <c r="D68" s="265" t="s">
        <v>383</v>
      </c>
    </row>
    <row r="69" spans="1:4" ht="30">
      <c r="A69" s="263" t="s">
        <v>384</v>
      </c>
      <c r="B69" s="257">
        <v>1</v>
      </c>
      <c r="C69" s="264">
        <v>3</v>
      </c>
      <c r="D69" s="265" t="s">
        <v>401</v>
      </c>
    </row>
    <row r="70" spans="1:4" ht="45">
      <c r="A70" s="263" t="s">
        <v>402</v>
      </c>
      <c r="B70" s="257">
        <v>3</v>
      </c>
      <c r="C70" s="264">
        <v>5</v>
      </c>
      <c r="D70" s="265" t="s">
        <v>466</v>
      </c>
    </row>
    <row r="71" spans="1:4" ht="45">
      <c r="A71" s="263" t="s">
        <v>408</v>
      </c>
      <c r="B71" s="257">
        <v>1</v>
      </c>
      <c r="C71" s="264">
        <v>2</v>
      </c>
      <c r="D71" s="265" t="s">
        <v>564</v>
      </c>
    </row>
    <row r="72" spans="1:4" ht="30">
      <c r="A72" s="263" t="s">
        <v>430</v>
      </c>
      <c r="B72" s="257">
        <v>3</v>
      </c>
      <c r="C72" s="264">
        <v>1</v>
      </c>
      <c r="D72" s="265" t="s">
        <v>272</v>
      </c>
    </row>
    <row r="73" spans="1:4" ht="75">
      <c r="A73" s="263" t="s">
        <v>273</v>
      </c>
      <c r="B73" s="257">
        <v>12</v>
      </c>
      <c r="C73" s="264">
        <v>5</v>
      </c>
      <c r="D73" s="265" t="s">
        <v>348</v>
      </c>
    </row>
    <row r="74" spans="1:4" ht="45">
      <c r="A74" s="263" t="s">
        <v>349</v>
      </c>
      <c r="B74" s="257">
        <v>1</v>
      </c>
      <c r="C74" s="264">
        <v>3</v>
      </c>
      <c r="D74" s="265" t="s">
        <v>339</v>
      </c>
    </row>
    <row r="75" spans="1:4" ht="30">
      <c r="A75" s="263" t="s">
        <v>340</v>
      </c>
      <c r="B75" s="257">
        <v>3</v>
      </c>
      <c r="C75" s="264">
        <v>1</v>
      </c>
      <c r="D75" s="265" t="s">
        <v>313</v>
      </c>
    </row>
    <row r="76" spans="1:4" ht="15">
      <c r="A76" s="263" t="s">
        <v>364</v>
      </c>
      <c r="B76" s="257">
        <v>1</v>
      </c>
      <c r="C76" s="264">
        <v>3</v>
      </c>
      <c r="D76" s="265" t="s">
        <v>365</v>
      </c>
    </row>
    <row r="77" spans="1:4" ht="15">
      <c r="A77" s="263" t="s">
        <v>395</v>
      </c>
      <c r="B77" s="257">
        <v>1</v>
      </c>
      <c r="C77" s="264">
        <v>4</v>
      </c>
      <c r="D77" s="265" t="s">
        <v>396</v>
      </c>
    </row>
    <row r="78" spans="1:4" ht="15">
      <c r="A78" s="263" t="s">
        <v>397</v>
      </c>
      <c r="B78" s="257">
        <v>1</v>
      </c>
      <c r="C78" s="264">
        <v>4</v>
      </c>
      <c r="D78" s="265" t="s">
        <v>398</v>
      </c>
    </row>
    <row r="79" spans="1:4" ht="30">
      <c r="A79" s="263" t="s">
        <v>399</v>
      </c>
      <c r="B79" s="257">
        <v>3</v>
      </c>
      <c r="C79" s="264">
        <v>2</v>
      </c>
      <c r="D79" s="265" t="s">
        <v>440</v>
      </c>
    </row>
    <row r="80" spans="1:4" ht="90">
      <c r="A80" s="263" t="s">
        <v>386</v>
      </c>
      <c r="B80" s="257">
        <v>1</v>
      </c>
      <c r="C80" s="264">
        <v>25</v>
      </c>
      <c r="D80" s="265" t="s">
        <v>316</v>
      </c>
    </row>
    <row r="81" spans="1:4" ht="15">
      <c r="A81" s="263" t="s">
        <v>317</v>
      </c>
      <c r="B81" s="257">
        <v>1</v>
      </c>
      <c r="C81" s="264">
        <v>2</v>
      </c>
      <c r="D81" s="265" t="s">
        <v>369</v>
      </c>
    </row>
    <row r="82" spans="1:4" ht="75">
      <c r="A82" s="263" t="s">
        <v>370</v>
      </c>
      <c r="B82" s="257">
        <v>1</v>
      </c>
      <c r="C82" s="264">
        <v>15</v>
      </c>
      <c r="D82" s="265" t="s">
        <v>269</v>
      </c>
    </row>
    <row r="83" spans="1:4" ht="15">
      <c r="A83" s="263" t="s">
        <v>271</v>
      </c>
      <c r="B83" s="257">
        <v>1</v>
      </c>
      <c r="C83" s="264">
        <v>10</v>
      </c>
      <c r="D83" s="265" t="s">
        <v>385</v>
      </c>
    </row>
    <row r="84" spans="1:4" ht="30">
      <c r="A84" s="263" t="s">
        <v>329</v>
      </c>
      <c r="B84" s="257">
        <v>1</v>
      </c>
      <c r="C84" s="264">
        <v>2</v>
      </c>
      <c r="D84" s="265" t="s">
        <v>330</v>
      </c>
    </row>
    <row r="85" spans="1:4" ht="15">
      <c r="A85" s="263" t="s">
        <v>331</v>
      </c>
      <c r="B85" s="257">
        <v>1</v>
      </c>
      <c r="C85" s="264">
        <v>3</v>
      </c>
      <c r="D85" s="265" t="s">
        <v>409</v>
      </c>
    </row>
    <row r="86" spans="1:4" ht="45">
      <c r="A86" s="263" t="s">
        <v>410</v>
      </c>
      <c r="B86" s="257">
        <v>3</v>
      </c>
      <c r="C86" s="264">
        <v>1</v>
      </c>
      <c r="D86" s="265" t="s">
        <v>373</v>
      </c>
    </row>
    <row r="87" spans="1:4" ht="15">
      <c r="A87" s="263" t="s">
        <v>412</v>
      </c>
      <c r="B87" s="257">
        <v>1</v>
      </c>
      <c r="C87" s="264">
        <v>8</v>
      </c>
      <c r="D87" s="265" t="s">
        <v>372</v>
      </c>
    </row>
    <row r="88" spans="1:4" ht="30">
      <c r="A88" s="263" t="s">
        <v>426</v>
      </c>
      <c r="B88" s="257">
        <v>1</v>
      </c>
      <c r="C88" s="264">
        <v>3</v>
      </c>
      <c r="D88" s="265" t="s">
        <v>429</v>
      </c>
    </row>
    <row r="89" spans="1:4" ht="15">
      <c r="A89" s="263" t="s">
        <v>333</v>
      </c>
      <c r="B89" s="257">
        <v>1</v>
      </c>
      <c r="C89" s="264">
        <v>1</v>
      </c>
      <c r="D89" s="265" t="s">
        <v>375</v>
      </c>
    </row>
    <row r="90" spans="1:4" ht="30">
      <c r="A90" s="263" t="s">
        <v>235</v>
      </c>
      <c r="B90" s="257">
        <v>1</v>
      </c>
      <c r="C90" s="264">
        <v>2</v>
      </c>
      <c r="D90" s="265" t="s">
        <v>302</v>
      </c>
    </row>
    <row r="91" spans="1:4" ht="15">
      <c r="A91" s="263" t="s">
        <v>355</v>
      </c>
      <c r="B91" s="257">
        <v>3</v>
      </c>
      <c r="C91" s="264">
        <v>3</v>
      </c>
      <c r="D91" s="265" t="s">
        <v>356</v>
      </c>
    </row>
    <row r="92" spans="1:4" ht="15">
      <c r="A92" s="263" t="s">
        <v>357</v>
      </c>
      <c r="B92" s="257">
        <v>5</v>
      </c>
      <c r="C92" s="264">
        <v>3</v>
      </c>
      <c r="D92" s="265" t="s">
        <v>352</v>
      </c>
    </row>
    <row r="93" spans="1:4" ht="30">
      <c r="A93" s="263" t="s">
        <v>353</v>
      </c>
      <c r="B93" s="257">
        <v>1</v>
      </c>
      <c r="C93" s="264">
        <v>1</v>
      </c>
      <c r="D93" s="265" t="s">
        <v>435</v>
      </c>
    </row>
    <row r="94" spans="1:4" ht="45">
      <c r="A94" s="263" t="s">
        <v>436</v>
      </c>
      <c r="B94" s="257">
        <v>1</v>
      </c>
      <c r="C94" s="264">
        <v>5</v>
      </c>
      <c r="D94" s="265" t="s">
        <v>379</v>
      </c>
    </row>
    <row r="95" spans="1:4" ht="15">
      <c r="A95" s="263" t="s">
        <v>380</v>
      </c>
      <c r="B95" s="257">
        <v>3</v>
      </c>
      <c r="C95" s="264">
        <v>5</v>
      </c>
      <c r="D95" s="265" t="s">
        <v>314</v>
      </c>
    </row>
    <row r="96" spans="1:4" ht="45">
      <c r="A96" s="263" t="s">
        <v>315</v>
      </c>
      <c r="B96" s="257">
        <v>1</v>
      </c>
      <c r="C96" s="264">
        <v>4</v>
      </c>
      <c r="D96" s="265" t="s">
        <v>254</v>
      </c>
    </row>
    <row r="97" spans="1:4" ht="75">
      <c r="A97" s="263" t="s">
        <v>255</v>
      </c>
      <c r="B97" s="257">
        <v>2</v>
      </c>
      <c r="C97" s="264">
        <v>3</v>
      </c>
      <c r="D97" s="265" t="s">
        <v>467</v>
      </c>
    </row>
    <row r="98" spans="1:4" ht="15">
      <c r="A98" s="263" t="s">
        <v>468</v>
      </c>
      <c r="B98" s="257">
        <v>1</v>
      </c>
      <c r="C98" s="264">
        <v>4</v>
      </c>
      <c r="D98" s="265" t="s">
        <v>289</v>
      </c>
    </row>
    <row r="99" spans="1:4" ht="30">
      <c r="A99" s="263" t="s">
        <v>290</v>
      </c>
      <c r="B99" s="257">
        <v>1</v>
      </c>
      <c r="C99" s="264">
        <v>10</v>
      </c>
      <c r="D99" s="265" t="s">
        <v>284</v>
      </c>
    </row>
    <row r="100" spans="1:4" ht="30">
      <c r="A100" s="263" t="s">
        <v>285</v>
      </c>
      <c r="B100" s="257">
        <v>1</v>
      </c>
      <c r="C100" s="264">
        <v>35</v>
      </c>
      <c r="D100" s="265" t="s">
        <v>391</v>
      </c>
    </row>
    <row r="101" spans="1:4" ht="30">
      <c r="A101" s="263" t="s">
        <v>392</v>
      </c>
      <c r="B101" s="257">
        <v>1</v>
      </c>
      <c r="C101" s="259" t="s">
        <v>59</v>
      </c>
      <c r="D101" s="265" t="s">
        <v>337</v>
      </c>
    </row>
    <row r="102" spans="1:4" ht="30">
      <c r="A102" s="263" t="s">
        <v>338</v>
      </c>
      <c r="B102" s="257">
        <v>6</v>
      </c>
      <c r="C102" s="264">
        <v>2</v>
      </c>
      <c r="D102" s="265" t="s">
        <v>291</v>
      </c>
    </row>
    <row r="104" spans="1:4" ht="15">
      <c r="A104" s="260" t="s">
        <v>1473</v>
      </c>
      <c r="B104" s="258" t="s">
        <v>1368</v>
      </c>
      <c r="C104" s="261" t="s">
        <v>1370</v>
      </c>
      <c r="D104" s="260" t="s">
        <v>1369</v>
      </c>
    </row>
    <row r="105" spans="1:4" ht="30">
      <c r="A105" s="263" t="s">
        <v>292</v>
      </c>
      <c r="B105" s="257">
        <v>1</v>
      </c>
      <c r="C105" s="264">
        <v>-2</v>
      </c>
      <c r="D105" s="265" t="s">
        <v>319</v>
      </c>
    </row>
    <row r="106" spans="1:4" ht="60">
      <c r="A106" s="263" t="s">
        <v>320</v>
      </c>
      <c r="B106" s="257">
        <v>6</v>
      </c>
      <c r="C106" s="264">
        <v>-1</v>
      </c>
      <c r="D106" s="265" t="s">
        <v>407</v>
      </c>
    </row>
    <row r="107" spans="1:4" ht="30">
      <c r="A107" s="263" t="s">
        <v>60</v>
      </c>
      <c r="B107" s="257">
        <v>1</v>
      </c>
      <c r="C107" s="259" t="s">
        <v>61</v>
      </c>
      <c r="D107" s="268" t="s">
        <v>376</v>
      </c>
    </row>
    <row r="108" spans="1:4" ht="13" customHeight="1">
      <c r="A108" s="263" t="s">
        <v>411</v>
      </c>
      <c r="B108" s="257">
        <v>1</v>
      </c>
      <c r="C108" s="264">
        <v>-8</v>
      </c>
      <c r="D108" s="265" t="s">
        <v>306</v>
      </c>
    </row>
    <row r="109" spans="1:4" ht="45">
      <c r="A109" s="263" t="s">
        <v>305</v>
      </c>
      <c r="B109" s="257">
        <v>3</v>
      </c>
      <c r="C109" s="264">
        <v>-1</v>
      </c>
      <c r="D109" s="265" t="s">
        <v>341</v>
      </c>
    </row>
    <row r="110" spans="1:4" ht="30">
      <c r="A110" s="263" t="s">
        <v>342</v>
      </c>
      <c r="B110" s="257">
        <v>2</v>
      </c>
      <c r="C110" s="259">
        <v>-3</v>
      </c>
      <c r="D110" s="265" t="s">
        <v>301</v>
      </c>
    </row>
    <row r="111" spans="1:4" ht="45">
      <c r="A111" s="263" t="s">
        <v>332</v>
      </c>
      <c r="B111" s="257">
        <v>1</v>
      </c>
      <c r="C111" s="264">
        <v>-3</v>
      </c>
      <c r="D111" s="265" t="s">
        <v>307</v>
      </c>
    </row>
    <row r="112" spans="1:4" ht="15">
      <c r="A112" s="263" t="s">
        <v>308</v>
      </c>
      <c r="B112" s="257">
        <v>2</v>
      </c>
      <c r="C112" s="264">
        <v>-2</v>
      </c>
      <c r="D112" s="265" t="s">
        <v>191</v>
      </c>
    </row>
    <row r="113" spans="1:4" ht="60">
      <c r="A113" s="263" t="s">
        <v>192</v>
      </c>
      <c r="B113" s="257">
        <v>1</v>
      </c>
      <c r="C113" s="264">
        <v>3</v>
      </c>
      <c r="D113" s="265" t="s">
        <v>371</v>
      </c>
    </row>
    <row r="114" spans="1:4" ht="60">
      <c r="A114" s="263" t="s">
        <v>354</v>
      </c>
      <c r="B114" s="257">
        <v>4</v>
      </c>
      <c r="C114" s="264">
        <v>-1</v>
      </c>
      <c r="D114" s="265" t="s">
        <v>282</v>
      </c>
    </row>
    <row r="115" spans="1:4" ht="45">
      <c r="A115" s="263" t="s">
        <v>283</v>
      </c>
      <c r="B115" s="257">
        <v>1</v>
      </c>
      <c r="C115" s="264">
        <v>-2</v>
      </c>
      <c r="D115" s="265" t="s">
        <v>336</v>
      </c>
    </row>
    <row r="116" spans="1:4" ht="60">
      <c r="A116" s="263" t="s">
        <v>286</v>
      </c>
      <c r="B116" s="257">
        <v>1</v>
      </c>
      <c r="C116" s="264">
        <v>-3</v>
      </c>
      <c r="D116" s="265" t="s">
        <v>287</v>
      </c>
    </row>
    <row r="117" spans="1:4" ht="45">
      <c r="A117" s="263" t="s">
        <v>288</v>
      </c>
      <c r="B117" s="257">
        <v>1</v>
      </c>
      <c r="C117" s="264">
        <v>-1</v>
      </c>
      <c r="D117" s="265" t="s">
        <v>256</v>
      </c>
    </row>
    <row r="118" spans="1:4" ht="15">
      <c r="A118" s="263" t="s">
        <v>257</v>
      </c>
      <c r="B118" s="257">
        <v>1</v>
      </c>
      <c r="C118" s="264">
        <v>-1</v>
      </c>
      <c r="D118" s="265" t="s">
        <v>293</v>
      </c>
    </row>
    <row r="119" spans="1:4" ht="30">
      <c r="A119" s="263" t="s">
        <v>294</v>
      </c>
      <c r="B119" s="257">
        <v>1</v>
      </c>
      <c r="C119" s="264">
        <v>-6</v>
      </c>
      <c r="D119" s="265" t="s">
        <v>367</v>
      </c>
    </row>
    <row r="120" spans="1:4" ht="30">
      <c r="A120" s="263" t="s">
        <v>368</v>
      </c>
      <c r="B120" s="257">
        <v>1</v>
      </c>
      <c r="C120" s="264">
        <v>-5</v>
      </c>
      <c r="D120" s="265" t="s">
        <v>343</v>
      </c>
    </row>
    <row r="121" spans="1:4" ht="30">
      <c r="A121" s="263" t="s">
        <v>321</v>
      </c>
      <c r="B121" s="257">
        <v>1</v>
      </c>
      <c r="C121" s="264">
        <v>-2</v>
      </c>
      <c r="D121" s="265" t="s">
        <v>322</v>
      </c>
    </row>
    <row r="122" spans="1:4" ht="30">
      <c r="A122" s="263" t="s">
        <v>344</v>
      </c>
      <c r="B122" s="257">
        <v>2</v>
      </c>
      <c r="C122" s="264">
        <v>-3</v>
      </c>
      <c r="D122" s="265" t="s">
        <v>233</v>
      </c>
    </row>
    <row r="123" spans="1:4" ht="30">
      <c r="A123" s="263" t="s">
        <v>234</v>
      </c>
      <c r="B123" s="257">
        <v>2</v>
      </c>
      <c r="C123" s="264">
        <v>-1</v>
      </c>
      <c r="D123" s="265" t="s">
        <v>303</v>
      </c>
    </row>
    <row r="124" spans="1:4" ht="45">
      <c r="A124" s="263" t="s">
        <v>304</v>
      </c>
      <c r="B124" s="257">
        <v>2</v>
      </c>
      <c r="C124" s="264">
        <v>-2</v>
      </c>
      <c r="D124" s="265" t="s">
        <v>327</v>
      </c>
    </row>
    <row r="125" spans="1:4" ht="45">
      <c r="A125" s="263" t="s">
        <v>328</v>
      </c>
      <c r="B125" s="257">
        <v>3</v>
      </c>
      <c r="C125" s="264">
        <v>-1</v>
      </c>
      <c r="D125" s="265" t="s">
        <v>318</v>
      </c>
    </row>
    <row r="126" spans="1:4" ht="45">
      <c r="A126" s="263" t="s">
        <v>274</v>
      </c>
      <c r="B126" s="257">
        <v>1</v>
      </c>
      <c r="C126" s="264">
        <v>-1</v>
      </c>
      <c r="D126" s="265" t="s">
        <v>270</v>
      </c>
    </row>
    <row r="127" spans="1:4" ht="30">
      <c r="A127" s="263" t="s">
        <v>232</v>
      </c>
      <c r="B127" s="257">
        <v>1</v>
      </c>
      <c r="C127" s="264">
        <v>-2</v>
      </c>
      <c r="D127" s="265" t="s">
        <v>189</v>
      </c>
    </row>
    <row r="128" spans="1:4" ht="60">
      <c r="A128" s="263" t="s">
        <v>190</v>
      </c>
      <c r="B128" s="257">
        <v>1</v>
      </c>
      <c r="C128" s="264">
        <v>-4</v>
      </c>
      <c r="D128" s="265" t="s">
        <v>236</v>
      </c>
    </row>
    <row r="129" spans="1:4" ht="45">
      <c r="A129" s="263" t="s">
        <v>237</v>
      </c>
      <c r="B129" s="257">
        <v>1</v>
      </c>
      <c r="C129" s="264">
        <v>-3</v>
      </c>
      <c r="D129" s="265" t="s">
        <v>334</v>
      </c>
    </row>
    <row r="130" spans="1:4" ht="30">
      <c r="A130" s="263" t="s">
        <v>335</v>
      </c>
      <c r="B130" s="257">
        <v>4</v>
      </c>
      <c r="C130" s="264">
        <v>-1</v>
      </c>
      <c r="D130" s="265" t="s">
        <v>251</v>
      </c>
    </row>
    <row r="131" spans="1:4" ht="45">
      <c r="A131" s="263" t="s">
        <v>252</v>
      </c>
      <c r="B131" s="257">
        <v>4</v>
      </c>
      <c r="C131" s="264">
        <v>-1</v>
      </c>
      <c r="D131" s="265" t="s">
        <v>213</v>
      </c>
    </row>
    <row r="132" spans="1:4" ht="15">
      <c r="A132" s="263" t="s">
        <v>253</v>
      </c>
      <c r="B132" s="257">
        <v>1</v>
      </c>
      <c r="C132" s="264">
        <v>-3</v>
      </c>
      <c r="D132" s="265" t="s">
        <v>358</v>
      </c>
    </row>
    <row r="133" spans="1:4" ht="30">
      <c r="A133" s="263" t="s">
        <v>359</v>
      </c>
      <c r="B133" s="257">
        <v>1</v>
      </c>
      <c r="C133" s="264">
        <v>-4</v>
      </c>
      <c r="D133" s="265" t="s">
        <v>135</v>
      </c>
    </row>
    <row r="134" spans="1:4" ht="60">
      <c r="A134" s="263" t="s">
        <v>214</v>
      </c>
      <c r="B134" s="257">
        <v>1</v>
      </c>
      <c r="C134" s="264">
        <v>-3</v>
      </c>
      <c r="D134" s="265" t="s">
        <v>215</v>
      </c>
    </row>
    <row r="135" spans="1:4" ht="30">
      <c r="A135" s="263" t="s">
        <v>216</v>
      </c>
      <c r="B135" s="257">
        <v>2</v>
      </c>
      <c r="C135" s="264">
        <v>-3</v>
      </c>
      <c r="D135" s="265" t="s">
        <v>218</v>
      </c>
    </row>
    <row r="136" spans="1:4" ht="30">
      <c r="A136" s="263" t="s">
        <v>217</v>
      </c>
      <c r="B136" s="257">
        <v>1</v>
      </c>
      <c r="C136" s="264">
        <v>-3</v>
      </c>
      <c r="D136" s="265" t="s">
        <v>323</v>
      </c>
    </row>
    <row r="137" spans="1:4" ht="15">
      <c r="A137" s="263" t="s">
        <v>324</v>
      </c>
      <c r="B137" s="257">
        <v>1</v>
      </c>
      <c r="C137" s="264">
        <v>-3</v>
      </c>
      <c r="D137" s="265" t="s">
        <v>325</v>
      </c>
    </row>
    <row r="138" spans="1:4" ht="30">
      <c r="A138" s="263" t="s">
        <v>326</v>
      </c>
      <c r="B138" s="257">
        <v>1</v>
      </c>
      <c r="C138" s="264">
        <v>-2</v>
      </c>
      <c r="D138" s="265" t="s">
        <v>228</v>
      </c>
    </row>
    <row r="139" spans="1:4" ht="30">
      <c r="A139" s="263" t="s">
        <v>229</v>
      </c>
      <c r="B139" s="257">
        <v>1</v>
      </c>
      <c r="C139" s="264">
        <v>-2</v>
      </c>
      <c r="D139" s="265" t="s">
        <v>185</v>
      </c>
    </row>
    <row r="140" spans="1:4" ht="30">
      <c r="A140" s="263" t="s">
        <v>186</v>
      </c>
      <c r="B140" s="257">
        <v>1</v>
      </c>
      <c r="C140" s="264">
        <v>-2</v>
      </c>
      <c r="D140" s="265" t="s">
        <v>187</v>
      </c>
    </row>
    <row r="141" spans="1:4" ht="30">
      <c r="A141" s="263" t="s">
        <v>188</v>
      </c>
      <c r="B141" s="257">
        <v>1</v>
      </c>
      <c r="C141" s="264">
        <v>-3</v>
      </c>
      <c r="D141" s="265" t="s">
        <v>277</v>
      </c>
    </row>
    <row r="142" spans="1:4" ht="45">
      <c r="A142" s="263" t="s">
        <v>345</v>
      </c>
      <c r="B142" s="257">
        <v>3</v>
      </c>
      <c r="C142" s="264">
        <v>-2</v>
      </c>
      <c r="D142" s="265" t="s">
        <v>153</v>
      </c>
    </row>
    <row r="143" spans="1:4" ht="45">
      <c r="A143" s="263" t="s">
        <v>154</v>
      </c>
      <c r="B143" s="257">
        <v>1</v>
      </c>
      <c r="C143" s="264">
        <v>-4</v>
      </c>
      <c r="D143" s="265" t="s">
        <v>267</v>
      </c>
    </row>
    <row r="144" spans="1:4" ht="30">
      <c r="A144" s="263" t="s">
        <v>268</v>
      </c>
      <c r="B144" s="257">
        <v>1</v>
      </c>
      <c r="C144" s="264">
        <v>-3</v>
      </c>
      <c r="D144" s="265" t="s">
        <v>230</v>
      </c>
    </row>
    <row r="145" spans="1:4" ht="15">
      <c r="A145" s="263" t="s">
        <v>231</v>
      </c>
      <c r="B145" s="257">
        <v>1</v>
      </c>
      <c r="C145" s="264">
        <v>-3</v>
      </c>
      <c r="D145" s="265" t="s">
        <v>238</v>
      </c>
    </row>
    <row r="146" spans="1:4" ht="30">
      <c r="A146" s="263" t="s">
        <v>239</v>
      </c>
      <c r="B146" s="257">
        <v>3</v>
      </c>
      <c r="C146" s="264">
        <v>-1</v>
      </c>
      <c r="D146" s="265" t="s">
        <v>280</v>
      </c>
    </row>
    <row r="147" spans="1:4" ht="60">
      <c r="A147" s="263" t="s">
        <v>281</v>
      </c>
      <c r="B147" s="257">
        <v>8</v>
      </c>
      <c r="C147" s="264">
        <v>-1</v>
      </c>
      <c r="D147" s="265" t="s">
        <v>249</v>
      </c>
    </row>
    <row r="148" spans="1:4" ht="30">
      <c r="A148" s="263" t="s">
        <v>250</v>
      </c>
      <c r="B148" s="257">
        <v>1</v>
      </c>
      <c r="C148" s="264">
        <v>-3</v>
      </c>
      <c r="D148" s="265" t="s">
        <v>168</v>
      </c>
    </row>
    <row r="149" spans="1:4" ht="45">
      <c r="A149" s="263" t="s">
        <v>169</v>
      </c>
      <c r="B149" s="257">
        <v>3</v>
      </c>
      <c r="C149" s="264">
        <v>-2</v>
      </c>
      <c r="D149" s="265" t="s">
        <v>170</v>
      </c>
    </row>
    <row r="150" spans="1:4" ht="30">
      <c r="A150" s="263" t="s">
        <v>171</v>
      </c>
      <c r="B150" s="257">
        <v>1</v>
      </c>
      <c r="C150" s="264">
        <v>-2</v>
      </c>
      <c r="D150" s="265" t="s">
        <v>133</v>
      </c>
    </row>
    <row r="151" spans="1:4" ht="30">
      <c r="A151" s="263" t="s">
        <v>134</v>
      </c>
      <c r="B151" s="257">
        <v>2</v>
      </c>
      <c r="C151" s="264">
        <v>-1</v>
      </c>
      <c r="D151" s="265" t="s">
        <v>136</v>
      </c>
    </row>
    <row r="152" spans="1:4" ht="45">
      <c r="A152" s="263" t="s">
        <v>137</v>
      </c>
      <c r="B152" s="257">
        <v>10</v>
      </c>
      <c r="C152" s="264">
        <v>-1</v>
      </c>
      <c r="D152" s="265" t="s">
        <v>172</v>
      </c>
    </row>
    <row r="153" spans="1:4" ht="30">
      <c r="A153" s="263" t="s">
        <v>173</v>
      </c>
      <c r="B153" s="257">
        <v>1</v>
      </c>
      <c r="C153" s="264">
        <v>-6</v>
      </c>
      <c r="D153" s="265" t="s">
        <v>258</v>
      </c>
    </row>
    <row r="154" spans="1:4" ht="30">
      <c r="A154" s="263" t="s">
        <v>259</v>
      </c>
      <c r="B154" s="257">
        <v>1</v>
      </c>
      <c r="C154" s="264">
        <v>-2</v>
      </c>
      <c r="D154" s="265" t="s">
        <v>224</v>
      </c>
    </row>
    <row r="155" spans="1:4" ht="75">
      <c r="A155" s="263" t="s">
        <v>184</v>
      </c>
      <c r="B155" s="257">
        <v>6</v>
      </c>
      <c r="C155" s="264">
        <v>-1</v>
      </c>
      <c r="D155" s="265" t="s">
        <v>151</v>
      </c>
    </row>
    <row r="156" spans="1:4" ht="30">
      <c r="A156" s="263" t="s">
        <v>152</v>
      </c>
      <c r="B156" s="257">
        <v>3</v>
      </c>
      <c r="C156" s="264">
        <v>-1</v>
      </c>
      <c r="D156" s="265" t="s">
        <v>113</v>
      </c>
    </row>
    <row r="157" spans="1:4" ht="45">
      <c r="A157" s="263" t="s">
        <v>114</v>
      </c>
      <c r="B157" s="257">
        <v>1</v>
      </c>
      <c r="C157" s="264">
        <v>-3</v>
      </c>
      <c r="D157" s="265" t="s">
        <v>115</v>
      </c>
    </row>
    <row r="158" spans="1:4" ht="15">
      <c r="A158" s="263" t="s">
        <v>116</v>
      </c>
      <c r="B158" s="257">
        <v>3</v>
      </c>
      <c r="C158" s="264">
        <v>-5</v>
      </c>
      <c r="D158" s="265" t="s">
        <v>155</v>
      </c>
    </row>
    <row r="159" spans="1:4" ht="30">
      <c r="A159" s="263" t="s">
        <v>156</v>
      </c>
      <c r="B159" s="257">
        <v>1</v>
      </c>
      <c r="C159" s="264">
        <v>-4</v>
      </c>
      <c r="D159" s="265" t="s">
        <v>193</v>
      </c>
    </row>
    <row r="160" spans="1:4" ht="45">
      <c r="A160" s="263" t="s">
        <v>194</v>
      </c>
      <c r="B160" s="257">
        <v>1</v>
      </c>
      <c r="C160" s="264">
        <v>-2</v>
      </c>
      <c r="D160" s="265" t="s">
        <v>275</v>
      </c>
    </row>
    <row r="161" spans="1:4" ht="45">
      <c r="A161" s="263" t="s">
        <v>276</v>
      </c>
      <c r="B161" s="257">
        <v>1</v>
      </c>
      <c r="C161" s="264">
        <v>-2</v>
      </c>
      <c r="D161" s="265" t="s">
        <v>309</v>
      </c>
    </row>
    <row r="162" spans="1:4" ht="30">
      <c r="A162" s="263" t="s">
        <v>310</v>
      </c>
      <c r="B162" s="257">
        <v>1</v>
      </c>
      <c r="C162" s="264">
        <v>-2</v>
      </c>
      <c r="D162" s="265" t="s">
        <v>202</v>
      </c>
    </row>
    <row r="163" spans="1:4" ht="30">
      <c r="A163" s="263" t="s">
        <v>203</v>
      </c>
      <c r="B163" s="257">
        <v>1</v>
      </c>
      <c r="C163" s="264">
        <v>-3</v>
      </c>
      <c r="D163" s="265" t="s">
        <v>131</v>
      </c>
    </row>
    <row r="164" spans="1:4" ht="15">
      <c r="A164" s="263" t="s">
        <v>132</v>
      </c>
      <c r="B164" s="257">
        <v>1</v>
      </c>
      <c r="C164" s="264">
        <v>-2</v>
      </c>
      <c r="D164" s="265" t="s">
        <v>83</v>
      </c>
    </row>
    <row r="165" spans="1:4" ht="15">
      <c r="A165" s="263" t="s">
        <v>84</v>
      </c>
      <c r="B165" s="257">
        <v>3</v>
      </c>
      <c r="C165" s="264">
        <v>-1</v>
      </c>
      <c r="D165" s="265" t="s">
        <v>208</v>
      </c>
    </row>
    <row r="166" spans="1:4" ht="30">
      <c r="A166" s="263" t="s">
        <v>209</v>
      </c>
      <c r="B166" s="257">
        <v>1</v>
      </c>
      <c r="C166" s="264">
        <v>-6</v>
      </c>
      <c r="D166" s="265" t="s">
        <v>204</v>
      </c>
    </row>
    <row r="167" spans="1:4" ht="15">
      <c r="A167" s="263" t="s">
        <v>205</v>
      </c>
      <c r="B167" s="257">
        <v>1</v>
      </c>
      <c r="C167" s="264">
        <v>-5</v>
      </c>
      <c r="D167" s="265" t="s">
        <v>206</v>
      </c>
    </row>
    <row r="168" spans="1:4" ht="60">
      <c r="A168" s="263" t="s">
        <v>207</v>
      </c>
      <c r="B168" s="257">
        <v>1</v>
      </c>
      <c r="C168" s="264">
        <v>-15</v>
      </c>
      <c r="D168" s="265" t="s">
        <v>219</v>
      </c>
    </row>
    <row r="169" spans="1:4" ht="30">
      <c r="A169" s="263" t="s">
        <v>140</v>
      </c>
      <c r="B169" s="257">
        <v>1</v>
      </c>
      <c r="C169" s="264">
        <v>-2</v>
      </c>
      <c r="D169" s="265" t="s">
        <v>295</v>
      </c>
    </row>
    <row r="170" spans="1:4" ht="30">
      <c r="A170" s="263" t="s">
        <v>296</v>
      </c>
      <c r="B170" s="257">
        <v>1</v>
      </c>
      <c r="C170" s="264">
        <v>-3</v>
      </c>
      <c r="D170" s="265" t="s">
        <v>297</v>
      </c>
    </row>
    <row r="171" spans="1:4" ht="45">
      <c r="A171" s="263" t="s">
        <v>298</v>
      </c>
      <c r="B171" s="257">
        <v>1</v>
      </c>
      <c r="C171" s="264">
        <v>-2</v>
      </c>
      <c r="D171" s="265" t="s">
        <v>227</v>
      </c>
    </row>
    <row r="172" spans="1:4" ht="30">
      <c r="A172" s="263" t="s">
        <v>266</v>
      </c>
      <c r="B172" s="257">
        <v>1</v>
      </c>
      <c r="C172" s="264">
        <v>-2</v>
      </c>
      <c r="D172" s="265" t="s">
        <v>148</v>
      </c>
    </row>
    <row r="173" spans="1:4" ht="15">
      <c r="A173" s="263" t="s">
        <v>104</v>
      </c>
      <c r="B173" s="257">
        <v>1</v>
      </c>
      <c r="C173" s="264">
        <v>-2</v>
      </c>
      <c r="D173" s="265" t="s">
        <v>105</v>
      </c>
    </row>
    <row r="174" spans="1:4" ht="15">
      <c r="A174" s="263" t="s">
        <v>106</v>
      </c>
      <c r="B174" s="470">
        <v>1</v>
      </c>
      <c r="C174" s="471">
        <v>-4</v>
      </c>
      <c r="D174" s="472" t="s">
        <v>181</v>
      </c>
    </row>
    <row r="175" spans="1:4" ht="15">
      <c r="A175" s="263" t="s">
        <v>107</v>
      </c>
      <c r="B175" s="470"/>
      <c r="C175" s="471"/>
      <c r="D175" s="472"/>
    </row>
    <row r="176" spans="1:4" ht="15">
      <c r="A176" s="263"/>
      <c r="B176" s="470"/>
      <c r="C176" s="471"/>
      <c r="D176" s="472"/>
    </row>
    <row r="177" spans="1:4" ht="30">
      <c r="A177" s="263" t="s">
        <v>69</v>
      </c>
      <c r="B177" s="257">
        <v>1</v>
      </c>
      <c r="C177" s="264">
        <v>-3</v>
      </c>
      <c r="D177" s="265" t="s">
        <v>299</v>
      </c>
    </row>
    <row r="178" spans="1:4" ht="15">
      <c r="A178" s="263" t="s">
        <v>300</v>
      </c>
      <c r="B178" s="257">
        <v>1</v>
      </c>
      <c r="C178" s="264">
        <v>-3</v>
      </c>
      <c r="D178" s="265" t="s">
        <v>225</v>
      </c>
    </row>
    <row r="179" spans="1:4" ht="30">
      <c r="A179" s="263" t="s">
        <v>226</v>
      </c>
      <c r="B179" s="257">
        <v>3</v>
      </c>
      <c r="C179" s="264">
        <v>-1</v>
      </c>
      <c r="D179" s="265" t="s">
        <v>111</v>
      </c>
    </row>
    <row r="180" spans="1:4" ht="45">
      <c r="A180" s="263" t="s">
        <v>112</v>
      </c>
      <c r="B180" s="257">
        <v>2</v>
      </c>
      <c r="C180" s="264">
        <v>-4</v>
      </c>
      <c r="D180" s="265" t="s">
        <v>195</v>
      </c>
    </row>
    <row r="181" spans="1:4" ht="15">
      <c r="A181" s="263" t="s">
        <v>242</v>
      </c>
      <c r="B181" s="257">
        <v>1</v>
      </c>
      <c r="C181" s="264">
        <v>-4</v>
      </c>
      <c r="D181" s="265" t="s">
        <v>196</v>
      </c>
    </row>
    <row r="182" spans="1:4" ht="15">
      <c r="A182" s="263" t="s">
        <v>197</v>
      </c>
      <c r="B182" s="257">
        <v>1</v>
      </c>
      <c r="C182" s="264">
        <v>-2</v>
      </c>
      <c r="D182" s="265" t="s">
        <v>240</v>
      </c>
    </row>
    <row r="183" spans="1:4" ht="30">
      <c r="A183" s="263" t="s">
        <v>241</v>
      </c>
      <c r="B183" s="257">
        <v>3</v>
      </c>
      <c r="C183" s="264">
        <v>-1</v>
      </c>
      <c r="D183" s="265" t="s">
        <v>248</v>
      </c>
    </row>
    <row r="184" spans="1:4" ht="30">
      <c r="A184" s="263" t="s">
        <v>130</v>
      </c>
      <c r="B184" s="257">
        <v>1</v>
      </c>
      <c r="C184" s="264">
        <v>-3</v>
      </c>
      <c r="D184" s="265" t="s">
        <v>164</v>
      </c>
    </row>
    <row r="185" spans="1:4" ht="30">
      <c r="A185" s="263" t="s">
        <v>165</v>
      </c>
      <c r="B185" s="257">
        <v>1</v>
      </c>
      <c r="C185" s="264">
        <v>-4</v>
      </c>
      <c r="D185" s="265" t="s">
        <v>166</v>
      </c>
    </row>
    <row r="186" spans="1:4" ht="45">
      <c r="A186" s="263" t="s">
        <v>167</v>
      </c>
      <c r="B186" s="257">
        <v>8</v>
      </c>
      <c r="C186" s="264">
        <v>-1</v>
      </c>
      <c r="D186" s="265" t="s">
        <v>87</v>
      </c>
    </row>
    <row r="187" spans="1:4" ht="45">
      <c r="A187" s="263" t="s">
        <v>90</v>
      </c>
      <c r="B187" s="257">
        <v>2</v>
      </c>
      <c r="C187" s="264">
        <v>-3</v>
      </c>
      <c r="D187" s="265" t="s">
        <v>88</v>
      </c>
    </row>
    <row r="188" spans="1:4" ht="30">
      <c r="A188" s="263" t="s">
        <v>89</v>
      </c>
      <c r="B188" s="257">
        <v>8</v>
      </c>
      <c r="C188" s="264">
        <v>-1</v>
      </c>
      <c r="D188" s="265" t="s">
        <v>211</v>
      </c>
    </row>
    <row r="189" spans="1:4" ht="45">
      <c r="A189" s="263" t="s">
        <v>212</v>
      </c>
      <c r="B189" s="257">
        <v>1</v>
      </c>
      <c r="C189" s="264">
        <v>-2</v>
      </c>
      <c r="D189" s="265" t="s">
        <v>92</v>
      </c>
    </row>
    <row r="190" spans="1:4" ht="30">
      <c r="A190" s="263" t="s">
        <v>93</v>
      </c>
      <c r="B190" s="257">
        <v>4</v>
      </c>
      <c r="C190" s="264">
        <v>-1</v>
      </c>
      <c r="D190" s="265" t="s">
        <v>174</v>
      </c>
    </row>
    <row r="191" spans="1:4" ht="30">
      <c r="A191" s="263" t="s">
        <v>175</v>
      </c>
      <c r="B191" s="257">
        <v>1</v>
      </c>
      <c r="C191" s="264">
        <v>-2</v>
      </c>
      <c r="D191" s="265" t="s">
        <v>138</v>
      </c>
    </row>
    <row r="192" spans="1:4" ht="45">
      <c r="A192" s="263" t="s">
        <v>139</v>
      </c>
      <c r="B192" s="257">
        <v>1</v>
      </c>
      <c r="C192" s="264">
        <v>-2</v>
      </c>
      <c r="D192" s="265" t="s">
        <v>110</v>
      </c>
    </row>
    <row r="193" spans="1:4" ht="30">
      <c r="A193" s="263" t="s">
        <v>68</v>
      </c>
      <c r="B193" s="257">
        <v>2</v>
      </c>
      <c r="C193" s="264">
        <v>-1</v>
      </c>
      <c r="D193" s="265" t="s">
        <v>62</v>
      </c>
    </row>
    <row r="194" spans="1:4" ht="30">
      <c r="A194" s="263" t="s">
        <v>63</v>
      </c>
      <c r="B194" s="257">
        <v>4</v>
      </c>
      <c r="C194" s="264">
        <v>-1</v>
      </c>
      <c r="D194" s="265" t="s">
        <v>64</v>
      </c>
    </row>
    <row r="195" spans="1:4" ht="45">
      <c r="A195" s="263" t="s">
        <v>22</v>
      </c>
      <c r="B195" s="257">
        <v>1</v>
      </c>
      <c r="C195" s="264">
        <v>-4</v>
      </c>
      <c r="D195" s="265" t="s">
        <v>70</v>
      </c>
    </row>
    <row r="196" spans="1:4" ht="15">
      <c r="A196" s="263" t="s">
        <v>71</v>
      </c>
      <c r="B196" s="257">
        <v>1</v>
      </c>
      <c r="C196" s="264">
        <v>-2</v>
      </c>
      <c r="D196" s="265" t="s">
        <v>72</v>
      </c>
    </row>
    <row r="197" spans="1:4" ht="30">
      <c r="A197" s="263" t="s">
        <v>73</v>
      </c>
      <c r="B197" s="257">
        <v>3</v>
      </c>
      <c r="C197" s="264">
        <v>-1</v>
      </c>
      <c r="D197" s="265" t="s">
        <v>182</v>
      </c>
    </row>
    <row r="198" spans="1:4" ht="30">
      <c r="A198" s="263" t="s">
        <v>183</v>
      </c>
      <c r="B198" s="257">
        <v>1</v>
      </c>
      <c r="C198" s="264">
        <v>-1</v>
      </c>
      <c r="D198" s="265" t="s">
        <v>117</v>
      </c>
    </row>
    <row r="199" spans="1:4" ht="45">
      <c r="A199" s="263" t="s">
        <v>118</v>
      </c>
      <c r="B199" s="257">
        <v>1</v>
      </c>
      <c r="C199" s="264">
        <v>-4</v>
      </c>
      <c r="D199" s="265" t="s">
        <v>279</v>
      </c>
    </row>
    <row r="200" spans="1:4" ht="45">
      <c r="A200" s="263" t="s">
        <v>278</v>
      </c>
      <c r="B200" s="257">
        <v>3</v>
      </c>
      <c r="C200" s="264">
        <v>-1</v>
      </c>
      <c r="D200" s="265" t="s">
        <v>311</v>
      </c>
    </row>
    <row r="201" spans="1:4" ht="45">
      <c r="A201" s="263" t="s">
        <v>312</v>
      </c>
      <c r="B201" s="257">
        <v>1</v>
      </c>
      <c r="C201" s="264">
        <v>-4</v>
      </c>
      <c r="D201" s="265" t="s">
        <v>245</v>
      </c>
    </row>
    <row r="202" spans="1:4" ht="30">
      <c r="A202" s="263" t="s">
        <v>246</v>
      </c>
      <c r="B202" s="257">
        <v>1</v>
      </c>
      <c r="C202" s="264">
        <v>-3</v>
      </c>
      <c r="D202" s="265" t="s">
        <v>247</v>
      </c>
    </row>
    <row r="203" spans="1:4" ht="45">
      <c r="A203" s="263" t="s">
        <v>210</v>
      </c>
      <c r="B203" s="257">
        <v>1</v>
      </c>
      <c r="C203" s="264">
        <v>-4</v>
      </c>
      <c r="D203" s="265" t="s">
        <v>16</v>
      </c>
    </row>
    <row r="204" spans="1:4" ht="30">
      <c r="A204" s="263" t="s">
        <v>17</v>
      </c>
      <c r="B204" s="257">
        <v>1</v>
      </c>
      <c r="C204" s="264">
        <v>-4</v>
      </c>
      <c r="D204" s="265" t="s">
        <v>49</v>
      </c>
    </row>
    <row r="205" spans="1:4" ht="45">
      <c r="A205" s="263" t="s">
        <v>50</v>
      </c>
      <c r="B205" s="257">
        <v>3</v>
      </c>
      <c r="C205" s="264">
        <v>-2</v>
      </c>
      <c r="D205" s="265" t="s">
        <v>94</v>
      </c>
    </row>
    <row r="206" spans="1:4" ht="30">
      <c r="A206" s="263" t="s">
        <v>95</v>
      </c>
      <c r="B206" s="257">
        <v>2</v>
      </c>
      <c r="C206" s="264">
        <v>-2</v>
      </c>
      <c r="D206" s="265" t="s">
        <v>177</v>
      </c>
    </row>
    <row r="207" spans="1:4" ht="30">
      <c r="A207" s="263" t="s">
        <v>178</v>
      </c>
      <c r="B207" s="257">
        <v>1</v>
      </c>
      <c r="C207" s="264">
        <v>-3</v>
      </c>
      <c r="D207" s="265" t="s">
        <v>260</v>
      </c>
    </row>
    <row r="208" spans="1:4" ht="45">
      <c r="A208" s="263" t="s">
        <v>261</v>
      </c>
      <c r="B208" s="257">
        <v>2</v>
      </c>
      <c r="C208" s="264">
        <v>-3</v>
      </c>
      <c r="D208" s="265" t="s">
        <v>262</v>
      </c>
    </row>
    <row r="209" spans="1:4" ht="30">
      <c r="A209" s="263" t="s">
        <v>263</v>
      </c>
      <c r="B209" s="257">
        <v>1</v>
      </c>
      <c r="C209" s="264">
        <v>-2</v>
      </c>
      <c r="D209" s="265" t="s">
        <v>264</v>
      </c>
    </row>
    <row r="210" spans="1:4" ht="30">
      <c r="A210" s="263" t="s">
        <v>265</v>
      </c>
      <c r="B210" s="257">
        <v>1</v>
      </c>
      <c r="C210" s="264">
        <v>-6</v>
      </c>
      <c r="D210" s="265" t="s">
        <v>222</v>
      </c>
    </row>
    <row r="211" spans="1:4" ht="30">
      <c r="A211" s="263" t="s">
        <v>223</v>
      </c>
      <c r="B211" s="257">
        <v>1</v>
      </c>
      <c r="C211" s="264">
        <v>-5</v>
      </c>
      <c r="D211" s="265" t="s">
        <v>179</v>
      </c>
    </row>
    <row r="212" spans="1:4" ht="30">
      <c r="A212" s="263" t="s">
        <v>180</v>
      </c>
      <c r="B212" s="257">
        <v>3</v>
      </c>
      <c r="C212" s="264">
        <v>-2</v>
      </c>
      <c r="D212" s="265" t="s">
        <v>149</v>
      </c>
    </row>
    <row r="213" spans="1:4" ht="30">
      <c r="A213" s="263" t="s">
        <v>150</v>
      </c>
      <c r="B213" s="257">
        <v>5</v>
      </c>
      <c r="C213" s="264">
        <v>-1</v>
      </c>
      <c r="D213" s="265" t="s">
        <v>23</v>
      </c>
    </row>
    <row r="214" spans="1:4" ht="30">
      <c r="A214" s="263" t="s">
        <v>24</v>
      </c>
      <c r="B214" s="257">
        <v>3</v>
      </c>
      <c r="C214" s="264">
        <v>-1</v>
      </c>
      <c r="D214" s="265" t="s">
        <v>67</v>
      </c>
    </row>
    <row r="215" spans="1:4" ht="45">
      <c r="A215" s="263" t="s">
        <v>27</v>
      </c>
      <c r="B215" s="257">
        <v>1</v>
      </c>
      <c r="C215" s="264">
        <v>-10</v>
      </c>
      <c r="D215" s="265" t="s">
        <v>157</v>
      </c>
    </row>
    <row r="216" spans="1:4" ht="30">
      <c r="A216" s="263" t="s">
        <v>161</v>
      </c>
      <c r="B216" s="257">
        <v>1</v>
      </c>
      <c r="C216" s="264">
        <v>-2</v>
      </c>
      <c r="D216" s="265" t="s">
        <v>123</v>
      </c>
    </row>
    <row r="217" spans="1:4" ht="30">
      <c r="A217" s="263" t="s">
        <v>124</v>
      </c>
      <c r="B217" s="257">
        <v>1</v>
      </c>
      <c r="C217" s="264" t="s">
        <v>125</v>
      </c>
      <c r="D217" s="265" t="s">
        <v>198</v>
      </c>
    </row>
    <row r="218" spans="1:4" ht="30">
      <c r="A218" s="263" t="s">
        <v>199</v>
      </c>
      <c r="B218" s="257">
        <v>1</v>
      </c>
      <c r="C218" s="264">
        <v>-3</v>
      </c>
      <c r="D218" s="265" t="s">
        <v>65</v>
      </c>
    </row>
    <row r="219" spans="1:4" ht="30">
      <c r="A219" s="263" t="s">
        <v>66</v>
      </c>
      <c r="B219" s="257">
        <v>2</v>
      </c>
      <c r="C219" s="264">
        <v>-3</v>
      </c>
      <c r="D219" s="265" t="s">
        <v>243</v>
      </c>
    </row>
    <row r="220" spans="1:4" ht="45">
      <c r="A220" s="263" t="s">
        <v>244</v>
      </c>
      <c r="B220" s="257">
        <v>3</v>
      </c>
      <c r="C220" s="264">
        <v>-2</v>
      </c>
      <c r="D220" s="265" t="s">
        <v>162</v>
      </c>
    </row>
    <row r="221" spans="1:4" ht="15">
      <c r="A221" s="263" t="s">
        <v>163</v>
      </c>
      <c r="B221" s="257">
        <v>1</v>
      </c>
      <c r="C221" s="264">
        <v>-1</v>
      </c>
      <c r="D221" s="265" t="s">
        <v>126</v>
      </c>
    </row>
    <row r="222" spans="1:4" ht="30">
      <c r="A222" s="263" t="s">
        <v>127</v>
      </c>
      <c r="B222" s="257">
        <v>5</v>
      </c>
      <c r="C222" s="264">
        <v>-1</v>
      </c>
      <c r="D222" s="265" t="s">
        <v>128</v>
      </c>
    </row>
    <row r="223" spans="1:4" ht="15">
      <c r="A223" s="263" t="s">
        <v>129</v>
      </c>
      <c r="B223" s="257">
        <v>1</v>
      </c>
      <c r="C223" s="264">
        <v>-3</v>
      </c>
      <c r="D223" s="265" t="s">
        <v>47</v>
      </c>
    </row>
    <row r="224" spans="1:4" ht="30">
      <c r="A224" s="263" t="s">
        <v>48</v>
      </c>
      <c r="B224" s="257">
        <v>1</v>
      </c>
      <c r="C224" s="264">
        <v>-5</v>
      </c>
      <c r="D224" s="265" t="s">
        <v>98</v>
      </c>
    </row>
    <row r="225" spans="1:4" ht="45">
      <c r="A225" s="263" t="s">
        <v>99</v>
      </c>
      <c r="B225" s="257">
        <v>2</v>
      </c>
      <c r="C225" s="264">
        <v>-2</v>
      </c>
      <c r="D225" s="265" t="s">
        <v>53</v>
      </c>
    </row>
    <row r="226" spans="1:4" ht="30">
      <c r="A226" s="263" t="s">
        <v>54</v>
      </c>
      <c r="B226" s="257">
        <v>1</v>
      </c>
      <c r="C226" s="264">
        <v>-2</v>
      </c>
      <c r="D226" s="265" t="s">
        <v>176</v>
      </c>
    </row>
    <row r="227" spans="1:4" ht="30">
      <c r="A227" s="263" t="s">
        <v>9</v>
      </c>
      <c r="B227" s="257">
        <v>1</v>
      </c>
      <c r="C227" s="264">
        <v>-4</v>
      </c>
      <c r="D227" s="265" t="s">
        <v>102</v>
      </c>
    </row>
    <row r="228" spans="1:4" ht="30">
      <c r="A228" s="263" t="s">
        <v>1472</v>
      </c>
      <c r="B228" s="257">
        <v>2</v>
      </c>
      <c r="C228" s="264">
        <v>-1</v>
      </c>
      <c r="D228" s="265" t="s">
        <v>146</v>
      </c>
    </row>
    <row r="229" spans="1:4" ht="45">
      <c r="A229" s="263" t="s">
        <v>147</v>
      </c>
      <c r="B229" s="257">
        <v>3</v>
      </c>
      <c r="C229" s="264">
        <v>-1</v>
      </c>
      <c r="D229" s="265" t="s">
        <v>220</v>
      </c>
    </row>
    <row r="230" spans="1:4" ht="30">
      <c r="A230" s="263" t="s">
        <v>221</v>
      </c>
      <c r="B230" s="257">
        <v>1</v>
      </c>
      <c r="C230" s="264">
        <v>-1</v>
      </c>
      <c r="D230" s="265" t="s">
        <v>19</v>
      </c>
    </row>
    <row r="231" spans="1:4" ht="15">
      <c r="A231" s="263" t="s">
        <v>20</v>
      </c>
      <c r="B231" s="257">
        <v>1</v>
      </c>
      <c r="C231" s="264">
        <v>-3</v>
      </c>
      <c r="D231" s="265" t="s">
        <v>108</v>
      </c>
    </row>
    <row r="232" spans="1:4" ht="75">
      <c r="A232" s="263" t="s">
        <v>109</v>
      </c>
      <c r="B232" s="257">
        <v>1</v>
      </c>
      <c r="C232" s="264">
        <v>-3</v>
      </c>
      <c r="D232" s="265" t="s">
        <v>119</v>
      </c>
    </row>
    <row r="233" spans="1:4" ht="30">
      <c r="A233" s="263" t="s">
        <v>120</v>
      </c>
      <c r="B233" s="257">
        <v>4</v>
      </c>
      <c r="C233" s="264">
        <v>-1</v>
      </c>
      <c r="D233" s="265" t="s">
        <v>31</v>
      </c>
    </row>
    <row r="234" spans="1:4" ht="30">
      <c r="A234" s="263" t="s">
        <v>32</v>
      </c>
      <c r="B234" s="257">
        <v>3</v>
      </c>
      <c r="C234" s="264">
        <v>-1</v>
      </c>
      <c r="D234" s="265" t="s">
        <v>29</v>
      </c>
    </row>
    <row r="235" spans="1:4" ht="30">
      <c r="A235" s="263" t="s">
        <v>30</v>
      </c>
      <c r="B235" s="257">
        <v>3</v>
      </c>
      <c r="C235" s="264">
        <v>-1</v>
      </c>
      <c r="D235" s="265" t="s">
        <v>158</v>
      </c>
    </row>
    <row r="236" spans="1:4" ht="30">
      <c r="A236" s="263" t="s">
        <v>13</v>
      </c>
      <c r="B236" s="257">
        <v>1</v>
      </c>
      <c r="C236" s="264">
        <v>-2</v>
      </c>
      <c r="D236" s="265" t="s">
        <v>159</v>
      </c>
    </row>
    <row r="237" spans="1:4" ht="30">
      <c r="A237" s="263" t="s">
        <v>160</v>
      </c>
      <c r="B237" s="257">
        <v>1</v>
      </c>
      <c r="C237" s="264">
        <v>-1</v>
      </c>
      <c r="D237" s="265" t="s">
        <v>41</v>
      </c>
    </row>
    <row r="238" spans="1:4" ht="30">
      <c r="A238" s="263" t="s">
        <v>10</v>
      </c>
      <c r="B238" s="257">
        <v>2</v>
      </c>
      <c r="C238" s="264">
        <v>-2</v>
      </c>
      <c r="D238" s="265" t="s">
        <v>85</v>
      </c>
    </row>
    <row r="239" spans="1:4" ht="30">
      <c r="A239" s="263" t="s">
        <v>333</v>
      </c>
      <c r="B239" s="257">
        <v>1</v>
      </c>
      <c r="C239" s="264">
        <v>-2</v>
      </c>
      <c r="D239" s="265" t="s">
        <v>200</v>
      </c>
    </row>
    <row r="240" spans="1:4" ht="30">
      <c r="A240" s="263" t="s">
        <v>201</v>
      </c>
      <c r="B240" s="257">
        <v>3</v>
      </c>
      <c r="C240" s="264">
        <v>-1</v>
      </c>
      <c r="D240" s="265" t="s">
        <v>46</v>
      </c>
    </row>
    <row r="241" spans="1:4" ht="60">
      <c r="A241" s="263" t="s">
        <v>45</v>
      </c>
      <c r="B241" s="257">
        <v>1</v>
      </c>
      <c r="C241" s="264">
        <v>-5</v>
      </c>
      <c r="D241" s="265" t="s">
        <v>96</v>
      </c>
    </row>
    <row r="242" spans="1:4" ht="60">
      <c r="A242" s="263" t="s">
        <v>97</v>
      </c>
      <c r="B242" s="257">
        <v>3</v>
      </c>
      <c r="C242" s="264">
        <v>-1</v>
      </c>
      <c r="D242" s="265" t="s">
        <v>51</v>
      </c>
    </row>
    <row r="243" spans="1:4" ht="15">
      <c r="A243" s="263" t="s">
        <v>100</v>
      </c>
      <c r="B243" s="257">
        <v>1</v>
      </c>
      <c r="C243" s="264">
        <v>-2</v>
      </c>
      <c r="D243" s="265" t="s">
        <v>141</v>
      </c>
    </row>
    <row r="244" spans="1:4" ht="45">
      <c r="A244" s="263" t="s">
        <v>142</v>
      </c>
      <c r="B244" s="257">
        <v>2</v>
      </c>
      <c r="C244" s="264">
        <v>-2</v>
      </c>
      <c r="D244" s="265" t="s">
        <v>143</v>
      </c>
    </row>
    <row r="245" spans="1:4" ht="45">
      <c r="A245" s="263" t="s">
        <v>144</v>
      </c>
      <c r="B245" s="257">
        <v>1</v>
      </c>
      <c r="C245" s="264">
        <v>-12</v>
      </c>
      <c r="D245" s="265" t="s">
        <v>145</v>
      </c>
    </row>
    <row r="246" spans="1:4" ht="45">
      <c r="A246" s="263" t="s">
        <v>101</v>
      </c>
      <c r="B246" s="257">
        <v>1</v>
      </c>
      <c r="C246" s="264">
        <v>-6</v>
      </c>
      <c r="D246" s="265" t="s">
        <v>76</v>
      </c>
    </row>
    <row r="247" spans="1:4" ht="30">
      <c r="A247" s="263" t="s">
        <v>103</v>
      </c>
      <c r="B247" s="257">
        <v>1</v>
      </c>
      <c r="C247" s="264">
        <v>-2</v>
      </c>
      <c r="D247" s="265" t="s">
        <v>77</v>
      </c>
    </row>
    <row r="248" spans="1:4" ht="30">
      <c r="A248" s="263" t="s">
        <v>78</v>
      </c>
      <c r="B248" s="257">
        <v>1</v>
      </c>
      <c r="C248" s="264">
        <v>-3</v>
      </c>
      <c r="D248" s="265" t="s">
        <v>40</v>
      </c>
    </row>
    <row r="249" spans="1:4" ht="30">
      <c r="A249" s="263" t="s">
        <v>11</v>
      </c>
      <c r="B249" s="257">
        <v>2</v>
      </c>
      <c r="C249" s="264">
        <v>-2</v>
      </c>
      <c r="D249" s="265" t="s">
        <v>12</v>
      </c>
    </row>
    <row r="250" spans="1:4" ht="30">
      <c r="A250" s="263" t="s">
        <v>14</v>
      </c>
      <c r="B250" s="257">
        <v>1</v>
      </c>
      <c r="C250" s="264">
        <v>-3</v>
      </c>
      <c r="D250" s="265" t="s">
        <v>15</v>
      </c>
    </row>
    <row r="251" spans="1:4" ht="30">
      <c r="A251" s="263" t="s">
        <v>39</v>
      </c>
      <c r="B251" s="257">
        <v>1</v>
      </c>
      <c r="C251" s="264">
        <v>-3</v>
      </c>
      <c r="D251" s="265" t="s">
        <v>81</v>
      </c>
    </row>
    <row r="252" spans="1:4" ht="30">
      <c r="A252" s="263" t="s">
        <v>82</v>
      </c>
      <c r="B252" s="257">
        <v>1</v>
      </c>
      <c r="C252" s="264">
        <v>-3</v>
      </c>
      <c r="D252" s="265" t="s">
        <v>121</v>
      </c>
    </row>
    <row r="253" spans="1:4" ht="30">
      <c r="A253" s="263" t="s">
        <v>122</v>
      </c>
      <c r="B253" s="257">
        <v>1</v>
      </c>
      <c r="C253" s="264">
        <v>-2</v>
      </c>
      <c r="D253" s="265" t="s">
        <v>33</v>
      </c>
    </row>
    <row r="254" spans="1:4" ht="45">
      <c r="A254" s="263" t="s">
        <v>34</v>
      </c>
      <c r="B254" s="257">
        <v>3</v>
      </c>
      <c r="C254" s="264">
        <v>-1</v>
      </c>
      <c r="D254" s="265" t="s">
        <v>79</v>
      </c>
    </row>
    <row r="255" spans="1:4" ht="45">
      <c r="A255" s="263" t="s">
        <v>80</v>
      </c>
      <c r="B255" s="257">
        <v>1</v>
      </c>
      <c r="C255" s="264">
        <v>5</v>
      </c>
      <c r="D255" s="265" t="s">
        <v>56</v>
      </c>
    </row>
    <row r="256" spans="1:4" ht="30">
      <c r="A256" s="263" t="s">
        <v>57</v>
      </c>
      <c r="B256" s="257">
        <v>3</v>
      </c>
      <c r="C256" s="264">
        <v>-1</v>
      </c>
      <c r="D256" s="265" t="s">
        <v>86</v>
      </c>
    </row>
    <row r="257" spans="1:4" ht="15">
      <c r="A257" s="263" t="s">
        <v>6</v>
      </c>
      <c r="B257" s="257">
        <v>4</v>
      </c>
      <c r="C257" s="264">
        <v>-1</v>
      </c>
      <c r="D257" s="265" t="s">
        <v>7</v>
      </c>
    </row>
    <row r="258" spans="1:4" ht="45">
      <c r="A258" s="263" t="s">
        <v>8</v>
      </c>
      <c r="B258" s="257">
        <v>4</v>
      </c>
      <c r="C258" s="264">
        <v>-1</v>
      </c>
      <c r="D258" s="265" t="s">
        <v>25</v>
      </c>
    </row>
    <row r="259" spans="1:4" ht="45">
      <c r="A259" s="263" t="s">
        <v>26</v>
      </c>
      <c r="B259" s="257">
        <v>3</v>
      </c>
      <c r="C259" s="264">
        <v>-2</v>
      </c>
      <c r="D259" s="265" t="s">
        <v>58</v>
      </c>
    </row>
  </sheetData>
  <sheetCalcPr fullCalcOnLoad="1"/>
  <mergeCells count="3">
    <mergeCell ref="B174:B176"/>
    <mergeCell ref="C174:C176"/>
    <mergeCell ref="D174:D176"/>
  </mergeCells>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9"/>
  <sheetViews>
    <sheetView workbookViewId="0">
      <selection activeCell="A16" sqref="A16"/>
    </sheetView>
  </sheetViews>
  <sheetFormatPr baseColWidth="10" defaultRowHeight="13"/>
  <cols>
    <col min="1" max="1" width="29.5" customWidth="1"/>
    <col min="5" max="5" width="10.83203125" style="103"/>
  </cols>
  <sheetData>
    <row r="1" spans="1:10">
      <c r="A1" s="96" t="s">
        <v>1730</v>
      </c>
      <c r="B1" s="96" t="s">
        <v>1776</v>
      </c>
      <c r="C1" s="96" t="s">
        <v>1777</v>
      </c>
      <c r="D1" s="112" t="s">
        <v>1919</v>
      </c>
      <c r="E1" s="4" t="s">
        <v>1676</v>
      </c>
      <c r="G1" s="93"/>
      <c r="H1" s="115"/>
      <c r="I1" s="115"/>
      <c r="J1" s="115"/>
    </row>
    <row r="2" spans="1:10">
      <c r="A2" s="6" t="s">
        <v>1666</v>
      </c>
      <c r="B2" s="5">
        <v>4</v>
      </c>
      <c r="C2" s="5">
        <v>4</v>
      </c>
      <c r="D2" s="113">
        <v>7</v>
      </c>
      <c r="E2" s="5">
        <v>1</v>
      </c>
      <c r="G2" s="116"/>
      <c r="H2" s="94"/>
      <c r="I2" s="94"/>
      <c r="J2" s="94"/>
    </row>
    <row r="3" spans="1:10">
      <c r="A3" s="6" t="s">
        <v>1467</v>
      </c>
      <c r="B3" s="5">
        <v>2</v>
      </c>
      <c r="C3" s="5">
        <v>7</v>
      </c>
      <c r="D3" s="113">
        <f>(B3+C3)/2</f>
        <v>4.5</v>
      </c>
      <c r="E3" s="5">
        <v>0</v>
      </c>
      <c r="G3" s="95"/>
      <c r="H3" s="94"/>
      <c r="I3" s="94"/>
      <c r="J3" s="94"/>
    </row>
    <row r="4" spans="1:10">
      <c r="A4" s="6" t="s">
        <v>1301</v>
      </c>
      <c r="B4" s="5">
        <v>4</v>
      </c>
      <c r="C4" s="5">
        <v>9</v>
      </c>
      <c r="D4" s="113">
        <f>(B4+C4)/2</f>
        <v>6.5</v>
      </c>
      <c r="E4" s="5">
        <v>0</v>
      </c>
      <c r="G4" s="95"/>
      <c r="H4" s="94"/>
      <c r="I4" s="94"/>
      <c r="J4" s="94"/>
    </row>
    <row r="5" spans="1:10">
      <c r="A5" s="6" t="s">
        <v>807</v>
      </c>
      <c r="B5" s="5">
        <v>4</v>
      </c>
      <c r="C5" s="5">
        <v>10</v>
      </c>
      <c r="D5" s="113">
        <f>(B5+C5)/2</f>
        <v>7</v>
      </c>
      <c r="E5" s="5">
        <v>0</v>
      </c>
      <c r="G5" s="95"/>
      <c r="H5" s="94"/>
      <c r="I5" s="94"/>
      <c r="J5" s="94"/>
    </row>
    <row r="6" spans="1:10">
      <c r="A6" s="101" t="s">
        <v>1895</v>
      </c>
      <c r="B6" s="5">
        <v>2</v>
      </c>
      <c r="C6" s="5">
        <v>7</v>
      </c>
      <c r="D6" s="113">
        <f>(B6+C6)/2</f>
        <v>4.5</v>
      </c>
      <c r="E6" s="5">
        <v>0</v>
      </c>
      <c r="G6" s="95"/>
      <c r="H6" s="94"/>
      <c r="I6" s="94"/>
      <c r="J6" s="94"/>
    </row>
    <row r="7" spans="1:10">
      <c r="A7" s="6" t="s">
        <v>1278</v>
      </c>
      <c r="B7" s="5">
        <v>5</v>
      </c>
      <c r="C7" s="5">
        <v>3</v>
      </c>
      <c r="D7" s="5">
        <v>4</v>
      </c>
      <c r="E7" s="5">
        <v>2</v>
      </c>
      <c r="G7" s="95"/>
      <c r="H7" s="94"/>
      <c r="I7" s="94"/>
      <c r="J7" s="94"/>
    </row>
    <row r="8" spans="1:10">
      <c r="A8" s="6" t="s">
        <v>834</v>
      </c>
      <c r="B8" s="5">
        <v>1</v>
      </c>
      <c r="C8" s="5">
        <v>1</v>
      </c>
      <c r="D8" s="5">
        <v>1</v>
      </c>
      <c r="E8" s="5">
        <v>0</v>
      </c>
      <c r="G8" s="95"/>
      <c r="H8" s="94"/>
      <c r="I8" s="94"/>
      <c r="J8" s="94"/>
    </row>
    <row r="9" spans="1:10">
      <c r="A9" t="s">
        <v>1888</v>
      </c>
      <c r="B9" s="103">
        <v>7</v>
      </c>
      <c r="C9" s="113">
        <f>B9*0.5</f>
        <v>3.5</v>
      </c>
      <c r="D9" s="114">
        <f>(B9+C9)/2</f>
        <v>5.25</v>
      </c>
      <c r="E9" s="103">
        <v>3</v>
      </c>
      <c r="G9" s="95"/>
      <c r="H9" s="94"/>
      <c r="I9" s="94"/>
      <c r="J9" s="94"/>
    </row>
    <row r="10" spans="1:10">
      <c r="A10" s="6" t="s">
        <v>1488</v>
      </c>
      <c r="B10" s="5">
        <v>8</v>
      </c>
      <c r="C10" s="113">
        <f>B10*0.5</f>
        <v>4</v>
      </c>
      <c r="D10" s="113">
        <f>(B10+C10)/2</f>
        <v>6</v>
      </c>
      <c r="E10" s="5">
        <v>3</v>
      </c>
      <c r="G10" s="95"/>
      <c r="H10" s="94"/>
      <c r="I10" s="94"/>
      <c r="J10" s="94"/>
    </row>
    <row r="11" spans="1:10">
      <c r="A11" s="6" t="s">
        <v>1251</v>
      </c>
      <c r="B11" s="5">
        <v>9</v>
      </c>
      <c r="C11" s="113">
        <f>B11*0.5</f>
        <v>4.5</v>
      </c>
      <c r="D11" s="113">
        <f>(B11+C11)/2</f>
        <v>6.75</v>
      </c>
      <c r="E11" s="5">
        <v>3</v>
      </c>
      <c r="G11" s="95"/>
      <c r="H11" s="94"/>
      <c r="I11" s="94"/>
      <c r="J11" s="94"/>
    </row>
    <row r="12" spans="1:10">
      <c r="A12" s="101" t="s">
        <v>1893</v>
      </c>
      <c r="B12" s="5">
        <v>1</v>
      </c>
      <c r="C12" s="5">
        <v>3</v>
      </c>
      <c r="D12" s="113">
        <f>(B12+C12)/2</f>
        <v>2</v>
      </c>
      <c r="E12" s="5">
        <v>0</v>
      </c>
      <c r="G12" s="95"/>
      <c r="H12" s="94"/>
      <c r="I12" s="94"/>
      <c r="J12" s="94"/>
    </row>
    <row r="13" spans="1:10">
      <c r="A13" s="101" t="s">
        <v>1894</v>
      </c>
      <c r="B13" s="5">
        <v>1</v>
      </c>
      <c r="C13" s="5">
        <v>5</v>
      </c>
      <c r="D13" s="113">
        <f>(B13+C13)/2</f>
        <v>3</v>
      </c>
      <c r="E13" s="5">
        <v>0</v>
      </c>
      <c r="G13" s="95"/>
      <c r="H13" s="94"/>
      <c r="I13" s="94"/>
      <c r="J13" s="94"/>
    </row>
    <row r="14" spans="1:10">
      <c r="A14" s="6" t="s">
        <v>891</v>
      </c>
      <c r="B14" s="5">
        <v>3</v>
      </c>
      <c r="C14" s="5">
        <v>2</v>
      </c>
      <c r="D14" s="5">
        <v>3</v>
      </c>
      <c r="E14" s="5">
        <v>1</v>
      </c>
      <c r="G14" s="95"/>
      <c r="H14" s="94"/>
      <c r="I14" s="94"/>
      <c r="J14" s="94"/>
    </row>
    <row r="15" spans="1:10">
      <c r="A15" s="6" t="s">
        <v>1736</v>
      </c>
      <c r="B15" s="5">
        <v>7</v>
      </c>
      <c r="C15" s="5">
        <v>16</v>
      </c>
      <c r="D15" s="113">
        <f>(B15+C15)/2</f>
        <v>11.5</v>
      </c>
      <c r="E15" s="5">
        <v>4</v>
      </c>
      <c r="G15" s="95"/>
      <c r="H15" s="94"/>
      <c r="I15" s="94"/>
      <c r="J15" s="94"/>
    </row>
    <row r="16" spans="1:10">
      <c r="A16" s="102" t="s">
        <v>673</v>
      </c>
      <c r="B16" s="103">
        <v>7</v>
      </c>
      <c r="C16" s="113">
        <f>B16*0.5</f>
        <v>3.5</v>
      </c>
      <c r="D16" s="114">
        <f t="shared" ref="D16:D24" si="0">(B16+C16)/2</f>
        <v>5.25</v>
      </c>
      <c r="E16" s="103">
        <v>2</v>
      </c>
      <c r="G16" s="95"/>
      <c r="H16" s="94"/>
      <c r="I16" s="94"/>
      <c r="J16" s="94"/>
    </row>
    <row r="17" spans="1:10">
      <c r="A17" t="s">
        <v>697</v>
      </c>
      <c r="B17" s="103">
        <v>6</v>
      </c>
      <c r="C17" s="113">
        <f>B17*0.5</f>
        <v>3</v>
      </c>
      <c r="D17" s="114">
        <f t="shared" si="0"/>
        <v>4.5</v>
      </c>
      <c r="E17" s="103">
        <v>1</v>
      </c>
      <c r="G17" s="95"/>
      <c r="H17" s="94"/>
      <c r="I17" s="94"/>
      <c r="J17" s="94"/>
    </row>
    <row r="18" spans="1:10">
      <c r="A18" s="102" t="s">
        <v>1149</v>
      </c>
      <c r="B18" s="5">
        <v>1</v>
      </c>
      <c r="C18" s="113">
        <f>B18*0.5</f>
        <v>0.5</v>
      </c>
      <c r="D18" s="114">
        <f t="shared" si="0"/>
        <v>0.75</v>
      </c>
      <c r="E18" s="103">
        <v>0</v>
      </c>
      <c r="G18" s="95"/>
      <c r="H18" s="94"/>
      <c r="I18" s="94"/>
      <c r="J18" s="94"/>
    </row>
    <row r="19" spans="1:10">
      <c r="A19" s="6" t="s">
        <v>843</v>
      </c>
      <c r="B19" s="5">
        <v>6</v>
      </c>
      <c r="C19" s="5">
        <v>15</v>
      </c>
      <c r="D19" s="113">
        <f t="shared" si="0"/>
        <v>10.5</v>
      </c>
      <c r="E19" s="5">
        <v>3</v>
      </c>
      <c r="G19" s="95"/>
      <c r="H19" s="94"/>
      <c r="I19" s="94"/>
      <c r="J19" s="94"/>
    </row>
    <row r="20" spans="1:10">
      <c r="A20" s="102" t="s">
        <v>1567</v>
      </c>
      <c r="B20" s="103">
        <v>4</v>
      </c>
      <c r="C20" s="113">
        <f>B20*0.5</f>
        <v>2</v>
      </c>
      <c r="D20" s="114">
        <f t="shared" si="0"/>
        <v>3</v>
      </c>
      <c r="E20" s="103">
        <v>1</v>
      </c>
      <c r="G20" s="95"/>
      <c r="H20" s="94"/>
      <c r="I20" s="94"/>
      <c r="J20" s="94"/>
    </row>
    <row r="21" spans="1:10">
      <c r="A21" t="s">
        <v>1562</v>
      </c>
      <c r="B21" s="103">
        <v>5</v>
      </c>
      <c r="C21" s="113">
        <f>B21*0.5</f>
        <v>2.5</v>
      </c>
      <c r="D21" s="114">
        <f t="shared" si="0"/>
        <v>3.75</v>
      </c>
      <c r="E21" s="103">
        <v>1</v>
      </c>
      <c r="G21" s="95"/>
      <c r="H21" s="94"/>
      <c r="I21" s="94"/>
      <c r="J21" s="94"/>
    </row>
    <row r="22" spans="1:10">
      <c r="A22" s="6" t="s">
        <v>1125</v>
      </c>
      <c r="B22" s="5">
        <v>9</v>
      </c>
      <c r="C22" s="5">
        <v>16</v>
      </c>
      <c r="D22" s="113">
        <f t="shared" si="0"/>
        <v>12.5</v>
      </c>
      <c r="E22" s="5">
        <v>4</v>
      </c>
      <c r="G22" s="95"/>
      <c r="H22" s="94"/>
      <c r="I22" s="94"/>
      <c r="J22" s="94"/>
    </row>
    <row r="23" spans="1:10">
      <c r="A23" s="6" t="s">
        <v>1519</v>
      </c>
      <c r="B23" s="5">
        <v>9</v>
      </c>
      <c r="C23" s="5">
        <v>14</v>
      </c>
      <c r="D23" s="113">
        <f t="shared" si="0"/>
        <v>11.5</v>
      </c>
      <c r="E23" s="5">
        <v>0</v>
      </c>
      <c r="G23" s="95"/>
      <c r="H23" s="94"/>
      <c r="I23" s="94"/>
      <c r="J23" s="94"/>
    </row>
    <row r="24" spans="1:10">
      <c r="A24" s="6" t="s">
        <v>1098</v>
      </c>
      <c r="B24" s="5">
        <v>6</v>
      </c>
      <c r="C24" s="5">
        <v>15</v>
      </c>
      <c r="D24" s="113">
        <f t="shared" si="0"/>
        <v>10.5</v>
      </c>
      <c r="E24" s="5">
        <v>4</v>
      </c>
    </row>
    <row r="25" spans="1:10">
      <c r="A25" s="101" t="s">
        <v>1693</v>
      </c>
      <c r="B25" s="5">
        <v>3</v>
      </c>
      <c r="C25" s="5">
        <v>9</v>
      </c>
      <c r="D25" s="113">
        <f>(B25+C25)/2</f>
        <v>6</v>
      </c>
      <c r="E25" s="5">
        <v>0</v>
      </c>
    </row>
    <row r="26" spans="1:10">
      <c r="A26" s="6" t="s">
        <v>1673</v>
      </c>
      <c r="B26" s="5">
        <v>6</v>
      </c>
      <c r="C26" s="5">
        <v>8</v>
      </c>
      <c r="D26" s="113">
        <v>5</v>
      </c>
      <c r="E26" s="5">
        <v>0</v>
      </c>
    </row>
    <row r="27" spans="1:10">
      <c r="A27" s="6" t="s">
        <v>1790</v>
      </c>
      <c r="B27" s="5">
        <v>12</v>
      </c>
      <c r="C27" s="5">
        <v>10</v>
      </c>
      <c r="D27" s="113">
        <v>11</v>
      </c>
      <c r="E27" s="5">
        <v>0</v>
      </c>
    </row>
    <row r="28" spans="1:10">
      <c r="A28" s="101" t="s">
        <v>1466</v>
      </c>
      <c r="B28" s="5">
        <v>4</v>
      </c>
      <c r="C28" s="5">
        <v>10</v>
      </c>
      <c r="D28" s="113">
        <f>(B28+C28)/2</f>
        <v>7</v>
      </c>
      <c r="E28" s="5">
        <v>1</v>
      </c>
    </row>
    <row r="29" spans="1:10">
      <c r="A29" s="102" t="s">
        <v>1452</v>
      </c>
      <c r="B29" s="5">
        <v>0</v>
      </c>
      <c r="C29" s="113">
        <f>B29*0.5</f>
        <v>0</v>
      </c>
      <c r="D29" s="114">
        <f>(B29+C29)/2</f>
        <v>0</v>
      </c>
      <c r="E29" s="103">
        <v>0</v>
      </c>
    </row>
    <row r="30" spans="1:10">
      <c r="A30" s="6" t="s">
        <v>1394</v>
      </c>
      <c r="B30" s="5">
        <v>2</v>
      </c>
      <c r="C30" s="5">
        <v>7</v>
      </c>
      <c r="D30" s="113">
        <f>(B30+C30)/2</f>
        <v>4.5</v>
      </c>
      <c r="E30" s="5">
        <v>1</v>
      </c>
    </row>
    <row r="31" spans="1:10">
      <c r="A31" s="102" t="s">
        <v>1984</v>
      </c>
      <c r="B31" s="5">
        <v>2</v>
      </c>
      <c r="C31" s="113">
        <f>B31*0.5</f>
        <v>1</v>
      </c>
      <c r="D31" s="114">
        <f t="shared" ref="D31:D62" si="1">(B31+C31)/2</f>
        <v>1.5</v>
      </c>
      <c r="E31" s="103">
        <v>0</v>
      </c>
    </row>
    <row r="32" spans="1:10">
      <c r="A32" t="s">
        <v>1858</v>
      </c>
      <c r="B32" s="103">
        <v>3</v>
      </c>
      <c r="C32" s="113">
        <f>B32*0.5</f>
        <v>1.5</v>
      </c>
      <c r="D32" s="114">
        <f t="shared" si="1"/>
        <v>2.25</v>
      </c>
      <c r="E32" s="103">
        <v>0</v>
      </c>
    </row>
    <row r="33" spans="1:5">
      <c r="A33" s="6" t="s">
        <v>1099</v>
      </c>
      <c r="B33" s="5">
        <v>7</v>
      </c>
      <c r="C33" s="5">
        <v>10</v>
      </c>
      <c r="D33" s="113">
        <f t="shared" si="1"/>
        <v>8.5</v>
      </c>
      <c r="E33" s="5">
        <v>2</v>
      </c>
    </row>
    <row r="34" spans="1:5">
      <c r="A34" s="6" t="s">
        <v>1662</v>
      </c>
      <c r="B34" s="5">
        <v>4</v>
      </c>
      <c r="C34" s="5">
        <v>10</v>
      </c>
      <c r="D34" s="113">
        <f t="shared" si="1"/>
        <v>7</v>
      </c>
      <c r="E34" s="5">
        <v>2</v>
      </c>
    </row>
    <row r="35" spans="1:5">
      <c r="A35" s="6" t="s">
        <v>1845</v>
      </c>
      <c r="B35" s="5">
        <v>3</v>
      </c>
      <c r="C35" s="5">
        <v>9</v>
      </c>
      <c r="D35" s="113">
        <f t="shared" si="1"/>
        <v>6</v>
      </c>
      <c r="E35" s="5">
        <v>1</v>
      </c>
    </row>
    <row r="36" spans="1:5">
      <c r="A36" s="6" t="s">
        <v>983</v>
      </c>
      <c r="B36" s="5">
        <v>4</v>
      </c>
      <c r="C36" s="5">
        <v>10</v>
      </c>
      <c r="D36" s="113">
        <f t="shared" si="1"/>
        <v>7</v>
      </c>
      <c r="E36" s="5">
        <v>2</v>
      </c>
    </row>
    <row r="37" spans="1:5">
      <c r="A37" s="6" t="s">
        <v>1437</v>
      </c>
      <c r="B37" s="5">
        <v>8</v>
      </c>
      <c r="C37" s="5">
        <v>12</v>
      </c>
      <c r="D37" s="113">
        <f t="shared" si="1"/>
        <v>10</v>
      </c>
      <c r="E37" s="5">
        <v>3</v>
      </c>
    </row>
    <row r="38" spans="1:5">
      <c r="A38" s="6" t="s">
        <v>1766</v>
      </c>
      <c r="B38" s="5">
        <v>5</v>
      </c>
      <c r="C38" s="5">
        <v>12</v>
      </c>
      <c r="D38" s="113">
        <f t="shared" si="1"/>
        <v>8.5</v>
      </c>
      <c r="E38" s="5">
        <v>3</v>
      </c>
    </row>
    <row r="39" spans="1:5">
      <c r="A39" s="6" t="s">
        <v>1674</v>
      </c>
      <c r="B39" s="5">
        <v>5</v>
      </c>
      <c r="C39" s="5">
        <v>5</v>
      </c>
      <c r="D39" s="113">
        <v>2</v>
      </c>
      <c r="E39" s="5">
        <v>1</v>
      </c>
    </row>
    <row r="40" spans="1:5">
      <c r="A40" s="102" t="s">
        <v>1989</v>
      </c>
      <c r="B40" s="103">
        <v>7</v>
      </c>
      <c r="C40" s="113">
        <f>B40*0.5</f>
        <v>3.5</v>
      </c>
      <c r="D40" s="114">
        <f t="shared" si="1"/>
        <v>5.25</v>
      </c>
      <c r="E40" s="103">
        <v>1</v>
      </c>
    </row>
    <row r="41" spans="1:5">
      <c r="A41" s="102" t="s">
        <v>1558</v>
      </c>
      <c r="B41" s="103">
        <v>8</v>
      </c>
      <c r="C41" s="113">
        <f>B41*0.5</f>
        <v>4</v>
      </c>
      <c r="D41" s="114">
        <f t="shared" si="1"/>
        <v>6</v>
      </c>
      <c r="E41" s="103">
        <v>1</v>
      </c>
    </row>
    <row r="42" spans="1:5">
      <c r="A42" s="6" t="s">
        <v>1731</v>
      </c>
      <c r="B42" s="5">
        <v>0</v>
      </c>
      <c r="C42" s="5">
        <v>0</v>
      </c>
      <c r="D42" s="5">
        <v>0</v>
      </c>
      <c r="E42" s="5">
        <v>0</v>
      </c>
    </row>
    <row r="43" spans="1:5">
      <c r="A43" t="s">
        <v>1559</v>
      </c>
      <c r="B43" s="103">
        <v>2</v>
      </c>
      <c r="C43" s="113">
        <f>B43*0.5</f>
        <v>1</v>
      </c>
      <c r="D43" s="114">
        <f t="shared" si="1"/>
        <v>1.5</v>
      </c>
      <c r="E43" s="103">
        <v>0</v>
      </c>
    </row>
    <row r="44" spans="1:5">
      <c r="A44" t="s">
        <v>1443</v>
      </c>
      <c r="B44" s="103">
        <v>4</v>
      </c>
      <c r="C44" s="113">
        <f>B44*0.5</f>
        <v>2</v>
      </c>
      <c r="D44" s="114">
        <f t="shared" si="1"/>
        <v>3</v>
      </c>
      <c r="E44" s="103">
        <v>0</v>
      </c>
    </row>
    <row r="45" spans="1:5">
      <c r="A45" s="6" t="s">
        <v>1393</v>
      </c>
      <c r="B45" s="5">
        <v>6</v>
      </c>
      <c r="C45" s="5">
        <v>12</v>
      </c>
      <c r="D45" s="113">
        <f t="shared" si="1"/>
        <v>9</v>
      </c>
      <c r="E45" s="5">
        <v>3</v>
      </c>
    </row>
    <row r="46" spans="1:5">
      <c r="A46" s="6" t="s">
        <v>1252</v>
      </c>
      <c r="B46" s="5">
        <v>8</v>
      </c>
      <c r="C46" s="113">
        <f>B46*0.5</f>
        <v>4</v>
      </c>
      <c r="D46" s="113">
        <f t="shared" si="1"/>
        <v>6</v>
      </c>
      <c r="E46" s="5">
        <v>4</v>
      </c>
    </row>
    <row r="47" spans="1:5">
      <c r="A47" s="6" t="s">
        <v>1891</v>
      </c>
      <c r="B47" s="5">
        <v>9</v>
      </c>
      <c r="C47" s="113">
        <f>B47*0.5</f>
        <v>4.5</v>
      </c>
      <c r="D47" s="113">
        <f t="shared" si="1"/>
        <v>6.75</v>
      </c>
      <c r="E47" s="5">
        <v>4</v>
      </c>
    </row>
    <row r="48" spans="1:5">
      <c r="A48" s="6" t="s">
        <v>1892</v>
      </c>
      <c r="B48" s="5">
        <v>10</v>
      </c>
      <c r="C48" s="113">
        <f>B48*0.5</f>
        <v>5</v>
      </c>
      <c r="D48" s="113">
        <f t="shared" si="1"/>
        <v>7.5</v>
      </c>
      <c r="E48" s="5">
        <v>4</v>
      </c>
    </row>
    <row r="49" spans="1:5">
      <c r="A49" s="6" t="s">
        <v>1729</v>
      </c>
      <c r="B49" s="5">
        <v>30</v>
      </c>
      <c r="C49" s="5">
        <v>30</v>
      </c>
      <c r="D49" s="113">
        <v>30</v>
      </c>
      <c r="E49" s="5">
        <v>0</v>
      </c>
    </row>
    <row r="50" spans="1:5">
      <c r="A50" s="6" t="s">
        <v>1669</v>
      </c>
      <c r="B50" s="5">
        <v>0</v>
      </c>
      <c r="C50" s="5">
        <v>0</v>
      </c>
      <c r="D50" s="113">
        <v>8</v>
      </c>
      <c r="E50" s="5">
        <v>1</v>
      </c>
    </row>
    <row r="51" spans="1:5">
      <c r="A51" s="6" t="s">
        <v>903</v>
      </c>
      <c r="B51" s="5">
        <v>4</v>
      </c>
      <c r="C51" s="5">
        <v>9</v>
      </c>
      <c r="D51" s="113">
        <f t="shared" si="1"/>
        <v>6.5</v>
      </c>
      <c r="E51" s="5">
        <v>1</v>
      </c>
    </row>
    <row r="52" spans="1:5">
      <c r="A52" s="6" t="s">
        <v>1022</v>
      </c>
      <c r="B52" s="5">
        <v>3</v>
      </c>
      <c r="C52" s="5">
        <v>2</v>
      </c>
      <c r="D52" s="5">
        <v>3</v>
      </c>
      <c r="E52" s="5">
        <v>1</v>
      </c>
    </row>
    <row r="53" spans="1:5">
      <c r="A53" t="s">
        <v>887</v>
      </c>
      <c r="B53" s="103">
        <v>6</v>
      </c>
      <c r="C53" s="113">
        <f>B53*0.5</f>
        <v>3</v>
      </c>
      <c r="D53" s="114">
        <f>(B53+C53)/2</f>
        <v>4.5</v>
      </c>
      <c r="E53" s="103">
        <v>2</v>
      </c>
    </row>
    <row r="54" spans="1:5">
      <c r="A54" t="s">
        <v>1767</v>
      </c>
      <c r="B54" s="103">
        <v>7</v>
      </c>
      <c r="C54" s="113">
        <f>B54*0.5</f>
        <v>3.5</v>
      </c>
      <c r="D54" s="114">
        <f>(B54+C54)/2</f>
        <v>5.25</v>
      </c>
      <c r="E54" s="103">
        <v>2</v>
      </c>
    </row>
    <row r="55" spans="1:5">
      <c r="A55" t="s">
        <v>1955</v>
      </c>
      <c r="B55" s="103">
        <v>8</v>
      </c>
      <c r="C55" s="113">
        <f>B55*0.5</f>
        <v>4</v>
      </c>
      <c r="D55" s="114">
        <f>(B55+C55)/2</f>
        <v>6</v>
      </c>
      <c r="E55" s="103">
        <v>2</v>
      </c>
    </row>
    <row r="56" spans="1:5">
      <c r="A56" s="6" t="s">
        <v>1685</v>
      </c>
      <c r="B56" s="5">
        <v>5</v>
      </c>
      <c r="C56" s="5">
        <v>12</v>
      </c>
      <c r="D56" s="5">
        <v>9</v>
      </c>
      <c r="E56" s="5">
        <v>2</v>
      </c>
    </row>
    <row r="57" spans="1:5">
      <c r="A57" s="6" t="s">
        <v>1280</v>
      </c>
      <c r="B57" s="5">
        <v>3</v>
      </c>
      <c r="C57" s="5">
        <v>10</v>
      </c>
      <c r="D57" s="5">
        <v>7</v>
      </c>
      <c r="E57" s="5">
        <v>1</v>
      </c>
    </row>
    <row r="58" spans="1:5">
      <c r="A58" s="102" t="s">
        <v>1175</v>
      </c>
      <c r="B58" s="103">
        <v>5</v>
      </c>
      <c r="C58" s="113">
        <f>B58*0.5</f>
        <v>2.5</v>
      </c>
      <c r="D58" s="114">
        <f>(B58+C58)/2</f>
        <v>3.75</v>
      </c>
      <c r="E58" s="103">
        <v>1</v>
      </c>
    </row>
    <row r="59" spans="1:5">
      <c r="A59" s="102" t="s">
        <v>1992</v>
      </c>
      <c r="B59" s="103">
        <v>6</v>
      </c>
      <c r="C59" s="113">
        <f>B59*0.5</f>
        <v>3</v>
      </c>
      <c r="D59" s="114">
        <f>(B59+C59)/2</f>
        <v>4.5</v>
      </c>
      <c r="E59" s="103">
        <v>1</v>
      </c>
    </row>
    <row r="60" spans="1:5">
      <c r="A60" s="6" t="s">
        <v>1683</v>
      </c>
      <c r="B60" s="5">
        <v>6</v>
      </c>
      <c r="C60" s="5">
        <v>15</v>
      </c>
      <c r="D60" s="113">
        <f t="shared" si="1"/>
        <v>10.5</v>
      </c>
      <c r="E60" s="5">
        <v>0</v>
      </c>
    </row>
    <row r="61" spans="1:5">
      <c r="A61" s="6" t="s">
        <v>1069</v>
      </c>
      <c r="B61" s="5">
        <v>5</v>
      </c>
      <c r="C61" s="5">
        <v>5</v>
      </c>
      <c r="D61" s="113">
        <v>5</v>
      </c>
      <c r="E61" s="5">
        <v>2</v>
      </c>
    </row>
    <row r="62" spans="1:5">
      <c r="A62" s="6" t="s">
        <v>947</v>
      </c>
      <c r="B62" s="5">
        <v>8</v>
      </c>
      <c r="C62" s="5">
        <v>14</v>
      </c>
      <c r="D62" s="113">
        <f t="shared" si="1"/>
        <v>11</v>
      </c>
      <c r="E62" s="5">
        <v>1</v>
      </c>
    </row>
    <row r="63" spans="1:5">
      <c r="A63" s="6"/>
      <c r="B63" s="5"/>
      <c r="C63" s="5"/>
      <c r="D63" s="5"/>
      <c r="E63" s="5"/>
    </row>
    <row r="64" spans="1:5">
      <c r="A64" s="6"/>
      <c r="B64" s="5"/>
      <c r="C64" s="5"/>
      <c r="D64" s="5"/>
      <c r="E64" s="5"/>
    </row>
    <row r="68" spans="1:4">
      <c r="A68" s="95"/>
      <c r="B68" s="94"/>
      <c r="C68" s="94"/>
      <c r="D68" s="94"/>
    </row>
    <row r="69" spans="1:4">
      <c r="A69" s="95"/>
      <c r="B69" s="94"/>
      <c r="C69" s="94"/>
      <c r="D69" s="94"/>
    </row>
  </sheetData>
  <sheetCalcPr fullCalcOnLoad="1"/>
  <phoneticPr fontId="6"/>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96"/>
  <sheetViews>
    <sheetView workbookViewId="0">
      <selection activeCell="A41" sqref="A41"/>
    </sheetView>
  </sheetViews>
  <sheetFormatPr baseColWidth="10" defaultRowHeight="13"/>
  <cols>
    <col min="1" max="1" width="18.6640625" customWidth="1"/>
  </cols>
  <sheetData>
    <row r="1" spans="1:6">
      <c r="A1" s="96" t="s">
        <v>1200</v>
      </c>
      <c r="B1" s="4" t="s">
        <v>1126</v>
      </c>
      <c r="C1" s="4" t="s">
        <v>1303</v>
      </c>
      <c r="D1" s="4" t="s">
        <v>1504</v>
      </c>
      <c r="E1" s="96" t="s">
        <v>1911</v>
      </c>
      <c r="F1" s="4" t="s">
        <v>847</v>
      </c>
    </row>
    <row r="2" spans="1:6">
      <c r="A2" t="s">
        <v>1201</v>
      </c>
      <c r="B2" s="103">
        <v>2</v>
      </c>
      <c r="C2" s="114">
        <v>6</v>
      </c>
      <c r="D2" s="114">
        <v>2</v>
      </c>
      <c r="E2">
        <v>2</v>
      </c>
      <c r="F2" s="103">
        <v>4</v>
      </c>
    </row>
    <row r="3" spans="1:6">
      <c r="A3" t="s">
        <v>1202</v>
      </c>
      <c r="B3" s="103">
        <v>2</v>
      </c>
      <c r="C3" s="114">
        <v>4</v>
      </c>
      <c r="D3" s="114">
        <v>2</v>
      </c>
      <c r="E3">
        <v>4</v>
      </c>
      <c r="F3" s="103">
        <v>4</v>
      </c>
    </row>
    <row r="4" spans="1:6">
      <c r="A4" t="s">
        <v>1925</v>
      </c>
      <c r="B4" s="103">
        <v>1</v>
      </c>
      <c r="C4" s="114">
        <v>3</v>
      </c>
      <c r="D4" s="114">
        <v>1</v>
      </c>
      <c r="E4">
        <v>8</v>
      </c>
      <c r="F4" s="103">
        <v>2</v>
      </c>
    </row>
    <row r="5" spans="1:6">
      <c r="A5" t="s">
        <v>1203</v>
      </c>
      <c r="B5" s="103">
        <v>1</v>
      </c>
      <c r="C5" s="114">
        <v>2</v>
      </c>
      <c r="D5" s="114">
        <v>1</v>
      </c>
      <c r="E5">
        <v>8</v>
      </c>
      <c r="F5" s="103">
        <v>2</v>
      </c>
    </row>
    <row r="6" spans="1:6">
      <c r="A6" t="s">
        <v>1926</v>
      </c>
      <c r="B6" s="103">
        <v>2</v>
      </c>
      <c r="C6" s="114">
        <v>4</v>
      </c>
      <c r="D6" s="114">
        <v>2</v>
      </c>
      <c r="E6">
        <v>4</v>
      </c>
      <c r="F6" s="103">
        <v>4</v>
      </c>
    </row>
    <row r="7" spans="1:6">
      <c r="A7" t="s">
        <v>1636</v>
      </c>
      <c r="B7" s="103">
        <v>2</v>
      </c>
      <c r="C7" s="114">
        <v>3</v>
      </c>
      <c r="D7" s="114">
        <v>2</v>
      </c>
      <c r="E7">
        <v>10</v>
      </c>
      <c r="F7" s="103">
        <v>3</v>
      </c>
    </row>
    <row r="8" spans="1:6">
      <c r="A8" t="s">
        <v>1429</v>
      </c>
      <c r="B8" s="103">
        <v>1</v>
      </c>
      <c r="C8" s="114">
        <v>4</v>
      </c>
      <c r="D8" s="114">
        <v>2</v>
      </c>
      <c r="E8">
        <v>5</v>
      </c>
      <c r="F8" s="103">
        <v>4</v>
      </c>
    </row>
    <row r="9" spans="1:6">
      <c r="A9" t="s">
        <v>1442</v>
      </c>
      <c r="B9" s="103">
        <v>2</v>
      </c>
      <c r="C9" s="114">
        <v>6</v>
      </c>
      <c r="D9" s="114">
        <v>2</v>
      </c>
      <c r="E9">
        <v>5</v>
      </c>
      <c r="F9" s="103">
        <v>3</v>
      </c>
    </row>
    <row r="10" spans="1:6">
      <c r="A10" t="s">
        <v>1457</v>
      </c>
      <c r="B10" s="103">
        <v>2</v>
      </c>
      <c r="C10" s="114">
        <v>4</v>
      </c>
      <c r="D10" s="114">
        <v>2</v>
      </c>
      <c r="E10">
        <v>5</v>
      </c>
      <c r="F10" s="103">
        <v>3</v>
      </c>
    </row>
    <row r="11" spans="1:6">
      <c r="A11" t="s">
        <v>1402</v>
      </c>
      <c r="B11" s="103">
        <v>1</v>
      </c>
      <c r="C11" s="114">
        <v>3</v>
      </c>
      <c r="D11" s="114">
        <v>1</v>
      </c>
      <c r="E11">
        <v>12</v>
      </c>
      <c r="F11" s="103">
        <v>1</v>
      </c>
    </row>
    <row r="12" spans="1:6">
      <c r="A12" t="s">
        <v>1974</v>
      </c>
      <c r="B12" s="103">
        <v>1</v>
      </c>
      <c r="C12" s="114">
        <v>2</v>
      </c>
      <c r="D12" s="114">
        <v>0</v>
      </c>
      <c r="E12">
        <v>15</v>
      </c>
      <c r="F12" s="103">
        <v>2</v>
      </c>
    </row>
    <row r="13" spans="1:6">
      <c r="A13" t="s">
        <v>1403</v>
      </c>
      <c r="B13" s="103">
        <v>2</v>
      </c>
      <c r="C13" s="114">
        <v>5</v>
      </c>
      <c r="D13" s="114">
        <v>3</v>
      </c>
      <c r="E13">
        <v>0</v>
      </c>
      <c r="F13" s="103">
        <v>5</v>
      </c>
    </row>
    <row r="14" spans="1:6">
      <c r="A14" t="s">
        <v>1784</v>
      </c>
      <c r="B14" s="103">
        <v>1</v>
      </c>
      <c r="C14" s="114">
        <v>1</v>
      </c>
      <c r="D14" s="114">
        <v>0</v>
      </c>
      <c r="E14">
        <v>20</v>
      </c>
      <c r="F14" s="103">
        <v>1</v>
      </c>
    </row>
    <row r="15" spans="1:6">
      <c r="A15" t="s">
        <v>1785</v>
      </c>
      <c r="B15" s="103">
        <v>2</v>
      </c>
      <c r="C15" s="114">
        <v>7</v>
      </c>
      <c r="D15" s="114">
        <v>3</v>
      </c>
      <c r="E15">
        <v>0</v>
      </c>
      <c r="F15" s="103">
        <v>5</v>
      </c>
    </row>
    <row r="16" spans="1:6">
      <c r="A16" t="s">
        <v>1786</v>
      </c>
      <c r="B16" s="103">
        <v>2</v>
      </c>
      <c r="C16" s="114">
        <v>5</v>
      </c>
      <c r="D16" s="114">
        <v>3</v>
      </c>
      <c r="E16">
        <v>0</v>
      </c>
      <c r="F16" s="103">
        <v>3</v>
      </c>
    </row>
    <row r="17" spans="1:6">
      <c r="A17" t="s">
        <v>1787</v>
      </c>
      <c r="B17" s="103">
        <v>1</v>
      </c>
      <c r="C17" s="114">
        <v>2</v>
      </c>
      <c r="D17" s="114">
        <v>0</v>
      </c>
      <c r="E17">
        <v>15</v>
      </c>
      <c r="F17" s="103">
        <v>1</v>
      </c>
    </row>
    <row r="18" spans="1:6">
      <c r="A18" t="s">
        <v>1404</v>
      </c>
      <c r="B18" s="103">
        <v>1</v>
      </c>
      <c r="C18" s="114">
        <v>2</v>
      </c>
      <c r="D18" s="114">
        <v>0</v>
      </c>
      <c r="E18">
        <v>20</v>
      </c>
      <c r="F18" s="103">
        <v>0</v>
      </c>
    </row>
    <row r="19" spans="1:6">
      <c r="A19" t="s">
        <v>1170</v>
      </c>
      <c r="B19" s="103">
        <v>1</v>
      </c>
      <c r="C19" s="114">
        <v>4</v>
      </c>
      <c r="D19" s="114">
        <v>2</v>
      </c>
      <c r="E19">
        <v>8</v>
      </c>
      <c r="F19" s="103">
        <v>3</v>
      </c>
    </row>
    <row r="20" spans="1:6">
      <c r="A20" t="s">
        <v>1012</v>
      </c>
      <c r="B20" s="103">
        <v>1</v>
      </c>
      <c r="C20" s="114">
        <v>4</v>
      </c>
      <c r="D20" s="114">
        <v>3</v>
      </c>
      <c r="E20">
        <v>10</v>
      </c>
      <c r="F20" s="103">
        <v>4</v>
      </c>
    </row>
    <row r="21" spans="1:6">
      <c r="A21" t="s">
        <v>808</v>
      </c>
      <c r="B21" s="103">
        <v>1</v>
      </c>
      <c r="C21" s="114">
        <v>2</v>
      </c>
      <c r="D21" s="114">
        <v>0</v>
      </c>
      <c r="E21">
        <v>15</v>
      </c>
      <c r="F21" s="103">
        <v>1</v>
      </c>
    </row>
    <row r="22" spans="1:6">
      <c r="A22" t="s">
        <v>1138</v>
      </c>
      <c r="B22" s="103">
        <v>2</v>
      </c>
      <c r="C22" s="114">
        <v>6</v>
      </c>
      <c r="D22" s="114">
        <v>2</v>
      </c>
      <c r="E22">
        <v>5</v>
      </c>
      <c r="F22" s="103">
        <v>4</v>
      </c>
    </row>
    <row r="23" spans="1:6">
      <c r="A23" t="s">
        <v>1137</v>
      </c>
      <c r="B23" s="103">
        <v>1</v>
      </c>
      <c r="C23" s="114">
        <v>3</v>
      </c>
      <c r="D23" s="114">
        <v>1</v>
      </c>
      <c r="E23">
        <v>10</v>
      </c>
      <c r="F23" s="103">
        <v>2</v>
      </c>
    </row>
    <row r="24" spans="1:6">
      <c r="A24" t="s">
        <v>1582</v>
      </c>
      <c r="B24" s="103">
        <v>1</v>
      </c>
      <c r="C24" s="114">
        <v>3</v>
      </c>
      <c r="D24" s="114">
        <v>1</v>
      </c>
      <c r="E24">
        <v>10</v>
      </c>
      <c r="F24" s="103">
        <v>2</v>
      </c>
    </row>
    <row r="25" spans="1:6">
      <c r="A25" t="s">
        <v>1520</v>
      </c>
      <c r="B25" s="103">
        <v>1</v>
      </c>
      <c r="C25" s="114">
        <v>4</v>
      </c>
      <c r="D25" s="114">
        <v>1</v>
      </c>
      <c r="E25">
        <v>8</v>
      </c>
      <c r="F25" s="103">
        <v>3</v>
      </c>
    </row>
    <row r="26" spans="1:6">
      <c r="A26" t="s">
        <v>1583</v>
      </c>
      <c r="B26" s="103">
        <v>1</v>
      </c>
      <c r="C26" s="114">
        <v>2</v>
      </c>
      <c r="D26" s="114">
        <v>0</v>
      </c>
      <c r="E26">
        <v>15</v>
      </c>
      <c r="F26" s="103">
        <v>1</v>
      </c>
    </row>
    <row r="27" spans="1:6">
      <c r="A27" t="s">
        <v>1584</v>
      </c>
      <c r="B27" s="103">
        <v>1</v>
      </c>
      <c r="C27" s="114">
        <v>4</v>
      </c>
      <c r="D27" s="114">
        <v>2</v>
      </c>
      <c r="E27">
        <v>8</v>
      </c>
      <c r="F27" s="103">
        <v>3</v>
      </c>
    </row>
    <row r="28" spans="1:6">
      <c r="A28" t="s">
        <v>1929</v>
      </c>
      <c r="B28" s="103">
        <v>2</v>
      </c>
      <c r="C28" s="114">
        <v>6</v>
      </c>
      <c r="D28" s="114">
        <v>2</v>
      </c>
      <c r="E28">
        <v>6</v>
      </c>
      <c r="F28" s="103">
        <v>4</v>
      </c>
    </row>
    <row r="29" spans="1:6">
      <c r="A29" t="s">
        <v>1958</v>
      </c>
      <c r="B29" s="103">
        <v>1</v>
      </c>
      <c r="C29" s="114">
        <v>4</v>
      </c>
      <c r="D29" s="114">
        <v>2</v>
      </c>
      <c r="E29">
        <v>8</v>
      </c>
      <c r="F29" s="103">
        <v>3</v>
      </c>
    </row>
    <row r="30" spans="1:6">
      <c r="A30" t="s">
        <v>1791</v>
      </c>
      <c r="B30" s="103">
        <v>1</v>
      </c>
      <c r="C30" s="114">
        <v>12</v>
      </c>
      <c r="D30" s="114">
        <v>2</v>
      </c>
      <c r="E30">
        <v>15</v>
      </c>
      <c r="F30" s="103">
        <v>4</v>
      </c>
    </row>
    <row r="31" spans="1:6">
      <c r="A31" t="s">
        <v>1959</v>
      </c>
      <c r="B31" s="103">
        <v>1</v>
      </c>
      <c r="C31" s="114">
        <v>2</v>
      </c>
      <c r="D31" s="114">
        <v>1</v>
      </c>
      <c r="E31">
        <v>4</v>
      </c>
      <c r="F31" s="103">
        <v>1</v>
      </c>
    </row>
    <row r="32" spans="1:6">
      <c r="A32" t="s">
        <v>1960</v>
      </c>
      <c r="B32" s="103">
        <v>1</v>
      </c>
      <c r="C32" s="114">
        <v>3</v>
      </c>
      <c r="D32" s="114">
        <v>2</v>
      </c>
      <c r="E32">
        <v>10</v>
      </c>
      <c r="F32" s="103">
        <v>2</v>
      </c>
    </row>
    <row r="33" spans="1:6">
      <c r="A33" t="s">
        <v>1033</v>
      </c>
      <c r="B33" s="103">
        <v>2</v>
      </c>
      <c r="C33" s="114">
        <v>7</v>
      </c>
      <c r="D33" s="114">
        <v>3</v>
      </c>
      <c r="E33">
        <v>0</v>
      </c>
      <c r="F33" s="103">
        <v>5</v>
      </c>
    </row>
    <row r="34" spans="1:6">
      <c r="A34" t="s">
        <v>1924</v>
      </c>
      <c r="B34" s="103">
        <v>2</v>
      </c>
      <c r="C34" s="114">
        <v>7</v>
      </c>
      <c r="D34" s="114">
        <v>3</v>
      </c>
      <c r="E34">
        <v>0</v>
      </c>
      <c r="F34" s="103">
        <v>5</v>
      </c>
    </row>
    <row r="35" spans="1:6">
      <c r="A35" t="s">
        <v>1778</v>
      </c>
      <c r="B35" s="103">
        <v>1</v>
      </c>
      <c r="C35" s="114">
        <v>1</v>
      </c>
      <c r="D35" s="114">
        <v>0</v>
      </c>
      <c r="E35">
        <v>10</v>
      </c>
      <c r="F35" s="103">
        <v>2</v>
      </c>
    </row>
    <row r="36" spans="1:6">
      <c r="A36" t="s">
        <v>1779</v>
      </c>
      <c r="B36" s="103">
        <v>1</v>
      </c>
      <c r="C36" s="114">
        <v>3</v>
      </c>
      <c r="D36" s="114">
        <v>2</v>
      </c>
      <c r="E36">
        <v>10</v>
      </c>
      <c r="F36" s="103">
        <v>3</v>
      </c>
    </row>
    <row r="37" spans="1:6">
      <c r="A37" t="s">
        <v>1458</v>
      </c>
      <c r="B37" s="103">
        <v>2</v>
      </c>
      <c r="C37" s="114">
        <v>3</v>
      </c>
      <c r="D37" s="114">
        <v>2</v>
      </c>
      <c r="E37">
        <v>0</v>
      </c>
      <c r="F37" s="103">
        <v>3</v>
      </c>
    </row>
    <row r="38" spans="1:6">
      <c r="A38" t="s">
        <v>2023</v>
      </c>
      <c r="B38" s="103">
        <v>1</v>
      </c>
      <c r="C38" s="114">
        <v>3</v>
      </c>
      <c r="D38" s="114">
        <v>2</v>
      </c>
      <c r="E38">
        <v>0</v>
      </c>
      <c r="F38" s="103">
        <v>3</v>
      </c>
    </row>
    <row r="39" spans="1:6">
      <c r="A39" t="s">
        <v>1829</v>
      </c>
      <c r="B39" s="103">
        <v>1</v>
      </c>
      <c r="C39" s="114">
        <v>2</v>
      </c>
      <c r="D39" s="114">
        <v>1</v>
      </c>
      <c r="E39">
        <v>15</v>
      </c>
      <c r="F39" s="103">
        <v>2</v>
      </c>
    </row>
    <row r="40" spans="1:6">
      <c r="A40" t="s">
        <v>2029</v>
      </c>
      <c r="B40" s="103">
        <v>1</v>
      </c>
      <c r="C40" s="114">
        <v>5</v>
      </c>
      <c r="D40" s="114">
        <v>2</v>
      </c>
      <c r="E40">
        <v>8</v>
      </c>
      <c r="F40" s="103">
        <v>3</v>
      </c>
    </row>
    <row r="41" spans="1:6">
      <c r="A41" t="s">
        <v>2027</v>
      </c>
      <c r="B41" s="103">
        <v>2</v>
      </c>
      <c r="C41" s="114">
        <v>7</v>
      </c>
      <c r="D41" s="114">
        <v>2</v>
      </c>
      <c r="E41">
        <v>8</v>
      </c>
      <c r="F41" s="103">
        <v>4</v>
      </c>
    </row>
    <row r="42" spans="1:6">
      <c r="A42" t="s">
        <v>1271</v>
      </c>
      <c r="B42" s="103">
        <v>1</v>
      </c>
      <c r="C42" s="114">
        <v>2</v>
      </c>
      <c r="D42" s="114">
        <v>0</v>
      </c>
      <c r="E42">
        <v>15</v>
      </c>
      <c r="F42" s="103">
        <v>1</v>
      </c>
    </row>
    <row r="43" spans="1:6">
      <c r="A43" t="s">
        <v>1480</v>
      </c>
      <c r="B43" s="103">
        <v>1</v>
      </c>
      <c r="C43" s="114">
        <v>3</v>
      </c>
      <c r="D43" s="114">
        <v>1</v>
      </c>
      <c r="E43">
        <v>10</v>
      </c>
      <c r="F43" s="103">
        <v>2</v>
      </c>
    </row>
    <row r="44" spans="1:6">
      <c r="A44" t="s">
        <v>761</v>
      </c>
      <c r="B44" s="103">
        <v>1</v>
      </c>
      <c r="C44" s="114">
        <v>2</v>
      </c>
      <c r="D44" s="114">
        <v>0</v>
      </c>
      <c r="E44">
        <v>10</v>
      </c>
      <c r="F44" s="103">
        <v>1</v>
      </c>
    </row>
    <row r="45" spans="1:6">
      <c r="A45" t="s">
        <v>762</v>
      </c>
      <c r="B45" s="103">
        <v>1</v>
      </c>
      <c r="C45" s="114">
        <v>1</v>
      </c>
      <c r="D45" s="114">
        <v>0</v>
      </c>
      <c r="E45">
        <v>18</v>
      </c>
      <c r="F45" s="103">
        <v>1</v>
      </c>
    </row>
    <row r="46" spans="1:6">
      <c r="A46" t="s">
        <v>763</v>
      </c>
      <c r="B46" s="103">
        <v>1</v>
      </c>
      <c r="C46" s="114">
        <v>3</v>
      </c>
      <c r="D46" s="114">
        <v>1</v>
      </c>
      <c r="E46">
        <v>10</v>
      </c>
      <c r="F46" s="103">
        <v>2</v>
      </c>
    </row>
    <row r="47" spans="1:6">
      <c r="A47" t="s">
        <v>1074</v>
      </c>
      <c r="B47" s="103">
        <v>1</v>
      </c>
      <c r="C47" s="114">
        <v>3</v>
      </c>
      <c r="D47" s="114">
        <v>1</v>
      </c>
      <c r="E47">
        <v>10</v>
      </c>
      <c r="F47" s="103">
        <v>1</v>
      </c>
    </row>
    <row r="48" spans="1:6">
      <c r="A48" t="s">
        <v>988</v>
      </c>
      <c r="B48" s="103">
        <v>1</v>
      </c>
      <c r="C48" s="114">
        <v>2</v>
      </c>
      <c r="D48" s="114">
        <v>0</v>
      </c>
      <c r="E48">
        <v>18</v>
      </c>
      <c r="F48" s="103">
        <v>1</v>
      </c>
    </row>
    <row r="49" spans="1:6">
      <c r="A49" t="s">
        <v>1122</v>
      </c>
      <c r="B49" s="103">
        <v>1</v>
      </c>
      <c r="C49" s="114">
        <v>3</v>
      </c>
      <c r="D49" s="114">
        <v>1</v>
      </c>
      <c r="E49">
        <v>10</v>
      </c>
      <c r="F49" s="103">
        <v>2</v>
      </c>
    </row>
    <row r="50" spans="1:6">
      <c r="A50" t="s">
        <v>1866</v>
      </c>
      <c r="B50" s="103">
        <v>1</v>
      </c>
      <c r="C50" s="114">
        <v>14</v>
      </c>
      <c r="D50" s="114">
        <v>4</v>
      </c>
      <c r="E50">
        <v>0</v>
      </c>
      <c r="F50" s="103">
        <v>6</v>
      </c>
    </row>
    <row r="51" spans="1:6">
      <c r="A51" t="s">
        <v>1585</v>
      </c>
      <c r="B51" s="103">
        <v>1</v>
      </c>
      <c r="C51" s="114">
        <v>7</v>
      </c>
      <c r="D51" s="114">
        <v>2</v>
      </c>
      <c r="E51">
        <v>15</v>
      </c>
      <c r="F51" s="103">
        <v>3</v>
      </c>
    </row>
    <row r="52" spans="1:6">
      <c r="A52" t="s">
        <v>1841</v>
      </c>
      <c r="B52" s="103">
        <v>2</v>
      </c>
      <c r="C52" s="114">
        <v>7</v>
      </c>
      <c r="D52" s="114">
        <v>2</v>
      </c>
      <c r="E52">
        <v>0</v>
      </c>
      <c r="F52" s="103">
        <v>4</v>
      </c>
    </row>
    <row r="53" spans="1:6">
      <c r="A53" t="s">
        <v>1124</v>
      </c>
      <c r="B53" s="103">
        <v>1</v>
      </c>
      <c r="C53" s="114">
        <v>10</v>
      </c>
      <c r="D53" s="114">
        <v>2</v>
      </c>
      <c r="E53">
        <v>15</v>
      </c>
      <c r="F53" s="103">
        <v>4</v>
      </c>
    </row>
    <row r="54" spans="1:6">
      <c r="A54" t="s">
        <v>1444</v>
      </c>
      <c r="B54" s="103">
        <v>1</v>
      </c>
      <c r="C54" s="114">
        <v>4</v>
      </c>
      <c r="D54" s="114">
        <v>2</v>
      </c>
      <c r="E54">
        <v>8</v>
      </c>
      <c r="F54" s="103">
        <v>3</v>
      </c>
    </row>
    <row r="55" spans="1:6">
      <c r="A55" t="s">
        <v>1070</v>
      </c>
      <c r="B55" s="103">
        <v>1</v>
      </c>
      <c r="C55" s="114">
        <v>4</v>
      </c>
      <c r="D55" s="114">
        <v>2</v>
      </c>
      <c r="E55">
        <v>4</v>
      </c>
      <c r="F55" s="103">
        <v>3</v>
      </c>
    </row>
    <row r="56" spans="1:6">
      <c r="A56" t="s">
        <v>1075</v>
      </c>
      <c r="B56" s="103">
        <v>1</v>
      </c>
      <c r="C56" s="114">
        <v>3</v>
      </c>
      <c r="D56" s="114">
        <v>1</v>
      </c>
      <c r="E56">
        <v>10</v>
      </c>
      <c r="F56" s="103">
        <v>2</v>
      </c>
    </row>
    <row r="57" spans="1:6">
      <c r="A57" t="s">
        <v>1076</v>
      </c>
      <c r="B57" s="103">
        <v>1</v>
      </c>
      <c r="C57" s="114">
        <v>2</v>
      </c>
      <c r="D57" s="114">
        <v>0</v>
      </c>
      <c r="E57">
        <v>8</v>
      </c>
      <c r="F57" s="103">
        <v>1</v>
      </c>
    </row>
    <row r="58" spans="1:6">
      <c r="A58" t="s">
        <v>1419</v>
      </c>
      <c r="B58" s="103">
        <v>1</v>
      </c>
      <c r="C58" s="114">
        <v>5</v>
      </c>
      <c r="D58" s="114">
        <v>2</v>
      </c>
      <c r="E58">
        <v>4</v>
      </c>
      <c r="F58" s="103">
        <v>3</v>
      </c>
    </row>
    <row r="59" spans="1:6">
      <c r="A59" t="s">
        <v>1174</v>
      </c>
      <c r="B59" s="103">
        <v>2</v>
      </c>
      <c r="C59" s="114">
        <v>7</v>
      </c>
      <c r="D59" s="114">
        <v>3</v>
      </c>
      <c r="E59">
        <v>0</v>
      </c>
      <c r="F59" s="103">
        <v>5</v>
      </c>
    </row>
    <row r="60" spans="1:6">
      <c r="A60" t="s">
        <v>1290</v>
      </c>
      <c r="B60" s="103">
        <v>1</v>
      </c>
      <c r="C60" s="114">
        <v>8</v>
      </c>
      <c r="D60" s="114">
        <v>3</v>
      </c>
      <c r="E60">
        <v>12</v>
      </c>
      <c r="F60" s="103">
        <v>2</v>
      </c>
    </row>
    <row r="61" spans="1:6">
      <c r="A61" t="s">
        <v>1342</v>
      </c>
      <c r="B61" s="103">
        <v>1</v>
      </c>
      <c r="C61" s="114">
        <v>5</v>
      </c>
      <c r="D61" s="114">
        <v>2</v>
      </c>
      <c r="E61">
        <v>12</v>
      </c>
      <c r="F61" s="103">
        <v>4</v>
      </c>
    </row>
    <row r="62" spans="1:6">
      <c r="A62" t="s">
        <v>1516</v>
      </c>
      <c r="B62" s="103">
        <v>2</v>
      </c>
      <c r="C62" s="114">
        <v>8</v>
      </c>
      <c r="D62" s="114">
        <v>2</v>
      </c>
      <c r="E62">
        <v>4</v>
      </c>
      <c r="F62" s="103">
        <v>2</v>
      </c>
    </row>
    <row r="63" spans="1:6">
      <c r="A63" t="s">
        <v>1514</v>
      </c>
      <c r="B63" s="103">
        <v>2</v>
      </c>
      <c r="C63" s="114">
        <v>6</v>
      </c>
      <c r="D63" s="114">
        <v>1</v>
      </c>
      <c r="E63">
        <v>12</v>
      </c>
      <c r="F63" s="103">
        <v>3</v>
      </c>
    </row>
    <row r="64" spans="1:6">
      <c r="A64" t="s">
        <v>1123</v>
      </c>
      <c r="B64" s="103">
        <v>1</v>
      </c>
      <c r="C64" s="114">
        <v>7</v>
      </c>
      <c r="D64" s="114">
        <v>1</v>
      </c>
      <c r="E64">
        <v>15</v>
      </c>
      <c r="F64" s="103">
        <v>2</v>
      </c>
    </row>
    <row r="65" spans="1:6">
      <c r="A65" t="s">
        <v>1484</v>
      </c>
      <c r="B65" s="103">
        <v>2</v>
      </c>
      <c r="C65" s="114">
        <v>6</v>
      </c>
      <c r="D65" s="114">
        <v>2</v>
      </c>
      <c r="E65">
        <v>0</v>
      </c>
      <c r="F65" s="103">
        <v>3</v>
      </c>
    </row>
    <row r="66" spans="1:6">
      <c r="A66" t="s">
        <v>1544</v>
      </c>
      <c r="B66" s="103">
        <v>2</v>
      </c>
      <c r="C66" s="114">
        <v>6</v>
      </c>
      <c r="D66" s="114">
        <v>4</v>
      </c>
      <c r="E66">
        <v>0</v>
      </c>
      <c r="F66" s="103">
        <v>6</v>
      </c>
    </row>
    <row r="67" spans="1:6">
      <c r="A67" t="s">
        <v>1517</v>
      </c>
      <c r="B67" s="103">
        <v>2</v>
      </c>
      <c r="C67" s="114">
        <v>6</v>
      </c>
      <c r="D67" s="114">
        <v>2</v>
      </c>
      <c r="E67">
        <v>8</v>
      </c>
      <c r="F67" s="103">
        <v>3</v>
      </c>
    </row>
    <row r="68" spans="1:6">
      <c r="A68" t="s">
        <v>1185</v>
      </c>
      <c r="B68" s="103">
        <v>2</v>
      </c>
      <c r="C68" s="114">
        <v>4</v>
      </c>
      <c r="D68" s="114">
        <v>2</v>
      </c>
      <c r="E68">
        <v>0</v>
      </c>
      <c r="F68" s="103">
        <v>3</v>
      </c>
    </row>
    <row r="69" spans="1:6">
      <c r="A69" t="s">
        <v>614</v>
      </c>
      <c r="B69" s="103">
        <v>1</v>
      </c>
      <c r="C69" s="114">
        <v>2</v>
      </c>
      <c r="D69" s="114">
        <v>0</v>
      </c>
      <c r="E69">
        <v>15</v>
      </c>
      <c r="F69" s="103">
        <v>1</v>
      </c>
    </row>
    <row r="70" spans="1:6">
      <c r="A70" t="s">
        <v>1233</v>
      </c>
      <c r="B70" s="103">
        <v>2</v>
      </c>
      <c r="C70" s="114">
        <v>3</v>
      </c>
      <c r="D70" s="114">
        <v>2</v>
      </c>
      <c r="E70">
        <v>0</v>
      </c>
      <c r="F70" s="103">
        <v>3</v>
      </c>
    </row>
    <row r="71" spans="1:6">
      <c r="A71" t="s">
        <v>1409</v>
      </c>
      <c r="B71" s="103">
        <v>1</v>
      </c>
      <c r="C71" s="114">
        <v>4</v>
      </c>
      <c r="D71" s="114">
        <v>2</v>
      </c>
      <c r="E71">
        <v>8</v>
      </c>
      <c r="F71" s="103">
        <v>3</v>
      </c>
    </row>
    <row r="72" spans="1:6">
      <c r="A72" t="s">
        <v>724</v>
      </c>
      <c r="B72" s="103">
        <v>1</v>
      </c>
      <c r="C72" s="114">
        <v>4</v>
      </c>
      <c r="D72" s="114">
        <v>2</v>
      </c>
      <c r="E72">
        <v>8</v>
      </c>
      <c r="F72" s="103">
        <v>3</v>
      </c>
    </row>
    <row r="73" spans="1:6">
      <c r="A73" t="s">
        <v>1041</v>
      </c>
      <c r="B73" s="103">
        <v>1</v>
      </c>
      <c r="C73" s="114">
        <v>2</v>
      </c>
      <c r="D73" s="114">
        <v>1</v>
      </c>
      <c r="E73">
        <v>10</v>
      </c>
      <c r="F73" s="103">
        <v>2</v>
      </c>
    </row>
    <row r="74" spans="1:6">
      <c r="A74" t="s">
        <v>1501</v>
      </c>
      <c r="B74" s="103">
        <v>1</v>
      </c>
      <c r="C74" s="114">
        <v>2</v>
      </c>
      <c r="D74" s="114">
        <v>0</v>
      </c>
      <c r="E74">
        <v>18</v>
      </c>
      <c r="F74" s="103">
        <v>1</v>
      </c>
    </row>
    <row r="75" spans="1:6">
      <c r="A75" t="s">
        <v>1677</v>
      </c>
      <c r="B75" s="103">
        <v>1</v>
      </c>
      <c r="C75" s="114">
        <v>4</v>
      </c>
      <c r="D75" s="114">
        <v>2</v>
      </c>
      <c r="E75">
        <v>8</v>
      </c>
      <c r="F75" s="103">
        <v>3</v>
      </c>
    </row>
    <row r="76" spans="1:6">
      <c r="A76" t="s">
        <v>1328</v>
      </c>
      <c r="B76" s="103">
        <v>1</v>
      </c>
      <c r="C76" s="114">
        <v>3</v>
      </c>
      <c r="D76" s="114">
        <v>2</v>
      </c>
      <c r="E76">
        <v>10</v>
      </c>
      <c r="F76" s="103">
        <v>2</v>
      </c>
    </row>
    <row r="77" spans="1:6">
      <c r="A77" t="s">
        <v>1095</v>
      </c>
      <c r="B77" s="103">
        <v>2</v>
      </c>
      <c r="C77" s="114">
        <v>3</v>
      </c>
      <c r="D77" s="114">
        <v>1</v>
      </c>
      <c r="E77">
        <v>0</v>
      </c>
      <c r="F77" s="103">
        <v>3</v>
      </c>
    </row>
    <row r="78" spans="1:6">
      <c r="A78" t="s">
        <v>1703</v>
      </c>
      <c r="B78" s="103">
        <v>2</v>
      </c>
      <c r="C78" s="114">
        <v>3</v>
      </c>
      <c r="D78" s="114">
        <v>2</v>
      </c>
      <c r="E78">
        <v>0</v>
      </c>
      <c r="F78" s="103">
        <v>3</v>
      </c>
    </row>
    <row r="79" spans="1:6">
      <c r="A79" t="s">
        <v>1508</v>
      </c>
      <c r="B79" s="103">
        <v>1</v>
      </c>
      <c r="C79" s="114">
        <v>3</v>
      </c>
      <c r="D79" s="114">
        <v>2</v>
      </c>
      <c r="E79">
        <v>0</v>
      </c>
      <c r="F79" s="103">
        <v>3</v>
      </c>
    </row>
    <row r="80" spans="1:6">
      <c r="A80" t="s">
        <v>1297</v>
      </c>
      <c r="B80" s="103">
        <v>2</v>
      </c>
      <c r="C80" s="114">
        <v>5</v>
      </c>
      <c r="D80" s="114">
        <v>2</v>
      </c>
      <c r="E80">
        <v>0</v>
      </c>
      <c r="F80" s="103">
        <v>4</v>
      </c>
    </row>
    <row r="81" spans="1:6">
      <c r="A81" t="s">
        <v>1705</v>
      </c>
      <c r="B81" s="103">
        <v>1</v>
      </c>
      <c r="C81" s="114">
        <v>2</v>
      </c>
      <c r="D81" s="114">
        <v>0</v>
      </c>
      <c r="E81">
        <v>18</v>
      </c>
      <c r="F81" s="103">
        <v>1</v>
      </c>
    </row>
    <row r="82" spans="1:6">
      <c r="A82" t="s">
        <v>850</v>
      </c>
      <c r="B82" s="103">
        <v>1</v>
      </c>
      <c r="C82" s="114">
        <v>3</v>
      </c>
      <c r="D82" s="114">
        <v>1</v>
      </c>
      <c r="E82">
        <v>15</v>
      </c>
      <c r="F82" s="103">
        <v>3</v>
      </c>
    </row>
    <row r="83" spans="1:6">
      <c r="A83" t="s">
        <v>1008</v>
      </c>
      <c r="B83" s="103">
        <v>2</v>
      </c>
      <c r="C83" s="114">
        <v>7</v>
      </c>
      <c r="D83" s="114">
        <v>2</v>
      </c>
      <c r="E83">
        <v>0</v>
      </c>
      <c r="F83" s="103">
        <v>4</v>
      </c>
    </row>
    <row r="84" spans="1:6">
      <c r="A84" t="s">
        <v>1131</v>
      </c>
      <c r="B84" s="103">
        <v>1</v>
      </c>
      <c r="C84" s="114">
        <v>3</v>
      </c>
      <c r="D84" s="114">
        <v>1</v>
      </c>
      <c r="E84">
        <v>8</v>
      </c>
      <c r="F84" s="103">
        <v>2</v>
      </c>
    </row>
    <row r="85" spans="1:6">
      <c r="A85" t="s">
        <v>1013</v>
      </c>
      <c r="B85" s="103">
        <v>1</v>
      </c>
      <c r="C85" s="114">
        <v>3</v>
      </c>
      <c r="D85" s="114">
        <v>1</v>
      </c>
      <c r="E85">
        <v>10</v>
      </c>
      <c r="F85" s="103">
        <v>2</v>
      </c>
    </row>
    <row r="86" spans="1:6">
      <c r="A86" t="s">
        <v>1132</v>
      </c>
      <c r="B86" s="103">
        <v>1</v>
      </c>
      <c r="C86" s="114">
        <v>4</v>
      </c>
      <c r="D86" s="114">
        <v>2</v>
      </c>
      <c r="E86">
        <v>8</v>
      </c>
      <c r="F86" s="103">
        <v>3</v>
      </c>
    </row>
    <row r="87" spans="1:6">
      <c r="A87" t="s">
        <v>1133</v>
      </c>
      <c r="B87" s="103">
        <v>2</v>
      </c>
      <c r="C87" s="114">
        <v>8</v>
      </c>
      <c r="D87" s="114">
        <v>2</v>
      </c>
      <c r="E87">
        <v>4</v>
      </c>
      <c r="F87" s="103">
        <v>4</v>
      </c>
    </row>
    <row r="88" spans="1:6">
      <c r="A88" t="s">
        <v>1843</v>
      </c>
      <c r="B88" s="103">
        <v>2</v>
      </c>
      <c r="C88" s="114">
        <v>7</v>
      </c>
      <c r="D88" s="103">
        <v>2</v>
      </c>
      <c r="E88">
        <v>2</v>
      </c>
      <c r="F88" s="103">
        <v>4</v>
      </c>
    </row>
    <row r="89" spans="1:6">
      <c r="A89" t="s">
        <v>1792</v>
      </c>
      <c r="B89" s="103">
        <v>1</v>
      </c>
      <c r="C89" s="114">
        <v>4</v>
      </c>
      <c r="D89" s="114">
        <v>1</v>
      </c>
      <c r="E89">
        <v>10</v>
      </c>
      <c r="F89" s="103">
        <v>2</v>
      </c>
    </row>
    <row r="90" spans="1:6">
      <c r="A90" t="s">
        <v>1104</v>
      </c>
      <c r="B90" s="103">
        <v>1</v>
      </c>
      <c r="C90" s="114">
        <v>3</v>
      </c>
      <c r="D90" s="103">
        <v>0</v>
      </c>
      <c r="E90">
        <v>15</v>
      </c>
      <c r="F90" s="103">
        <v>1</v>
      </c>
    </row>
    <row r="91" spans="1:6">
      <c r="A91" t="s">
        <v>1844</v>
      </c>
      <c r="B91" s="103">
        <v>1</v>
      </c>
      <c r="C91" s="114">
        <v>5</v>
      </c>
      <c r="D91" s="103">
        <v>2</v>
      </c>
      <c r="E91">
        <v>8</v>
      </c>
      <c r="F91" s="103">
        <v>3</v>
      </c>
    </row>
    <row r="92" spans="1:6">
      <c r="A92" t="s">
        <v>1650</v>
      </c>
      <c r="B92" s="103">
        <v>1</v>
      </c>
      <c r="C92" s="114">
        <v>4</v>
      </c>
      <c r="D92" s="114">
        <v>1</v>
      </c>
      <c r="E92">
        <v>10</v>
      </c>
      <c r="F92" s="103">
        <v>2</v>
      </c>
    </row>
    <row r="93" spans="1:6">
      <c r="A93" t="s">
        <v>930</v>
      </c>
      <c r="B93" s="103">
        <v>1</v>
      </c>
      <c r="C93" s="114">
        <v>4</v>
      </c>
      <c r="D93" s="114">
        <v>2</v>
      </c>
      <c r="E93">
        <v>4</v>
      </c>
      <c r="F93" s="103">
        <v>3</v>
      </c>
    </row>
    <row r="94" spans="1:6">
      <c r="A94" t="s">
        <v>998</v>
      </c>
      <c r="B94" s="103">
        <v>1</v>
      </c>
      <c r="C94" s="114">
        <v>2</v>
      </c>
      <c r="D94" s="114">
        <v>3</v>
      </c>
      <c r="E94">
        <v>12</v>
      </c>
      <c r="F94" s="103">
        <v>6</v>
      </c>
    </row>
    <row r="95" spans="1:6">
      <c r="F95" s="103"/>
    </row>
    <row r="96" spans="1:6">
      <c r="F96" s="103"/>
    </row>
  </sheetData>
  <sheetCalcPr fullCalcOnLoad="1"/>
  <phoneticPr fontId="6"/>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0"/>
  <sheetViews>
    <sheetView workbookViewId="0">
      <selection activeCell="A5" sqref="A5"/>
    </sheetView>
  </sheetViews>
  <sheetFormatPr baseColWidth="10" defaultRowHeight="13"/>
  <sheetData>
    <row r="1" spans="1:10">
      <c r="A1" s="96" t="s">
        <v>1200</v>
      </c>
      <c r="B1" s="4" t="s">
        <v>1126</v>
      </c>
      <c r="C1" s="4" t="s">
        <v>1303</v>
      </c>
      <c r="D1" s="96" t="s">
        <v>1911</v>
      </c>
      <c r="E1" s="4" t="s">
        <v>1114</v>
      </c>
      <c r="F1" s="4" t="s">
        <v>1472</v>
      </c>
      <c r="G1" s="4" t="s">
        <v>1725</v>
      </c>
      <c r="H1" s="4" t="s">
        <v>1726</v>
      </c>
      <c r="I1" s="4" t="s">
        <v>1352</v>
      </c>
      <c r="J1" s="4" t="s">
        <v>1439</v>
      </c>
    </row>
    <row r="2" spans="1:10">
      <c r="A2" t="s">
        <v>600</v>
      </c>
      <c r="B2" s="103">
        <v>1</v>
      </c>
      <c r="C2" s="114">
        <v>4</v>
      </c>
      <c r="D2" s="103">
        <v>5</v>
      </c>
      <c r="E2" s="103" t="s">
        <v>662</v>
      </c>
      <c r="F2" s="117" t="s">
        <v>601</v>
      </c>
      <c r="G2" s="117" t="s">
        <v>971</v>
      </c>
      <c r="H2" s="117" t="s">
        <v>972</v>
      </c>
      <c r="I2" s="117" t="s">
        <v>682</v>
      </c>
      <c r="J2" s="103" t="s">
        <v>663</v>
      </c>
    </row>
    <row r="3" spans="1:10">
      <c r="A3" t="s">
        <v>1119</v>
      </c>
      <c r="B3" s="103">
        <v>2</v>
      </c>
      <c r="C3" s="114">
        <v>2</v>
      </c>
      <c r="D3" s="103">
        <v>10</v>
      </c>
      <c r="E3" s="103" t="s">
        <v>1664</v>
      </c>
      <c r="F3" s="118" t="s">
        <v>1768</v>
      </c>
      <c r="G3" s="117" t="s">
        <v>1418</v>
      </c>
      <c r="H3" s="117" t="s">
        <v>1769</v>
      </c>
      <c r="I3" s="103" t="s">
        <v>1744</v>
      </c>
      <c r="J3" s="103" t="s">
        <v>1440</v>
      </c>
    </row>
    <row r="4" spans="1:10">
      <c r="A4" t="s">
        <v>1898</v>
      </c>
      <c r="B4" s="103">
        <v>1</v>
      </c>
      <c r="C4" s="114">
        <v>4</v>
      </c>
      <c r="D4" s="103">
        <v>5</v>
      </c>
      <c r="E4" s="103" t="s">
        <v>1433</v>
      </c>
      <c r="F4" s="117" t="s">
        <v>1418</v>
      </c>
      <c r="G4" s="117" t="s">
        <v>1769</v>
      </c>
      <c r="H4" s="103" t="s">
        <v>1744</v>
      </c>
      <c r="I4" s="103" t="s">
        <v>1873</v>
      </c>
      <c r="J4" s="103" t="s">
        <v>1486</v>
      </c>
    </row>
    <row r="5" spans="1:10">
      <c r="A5" t="s">
        <v>1130</v>
      </c>
      <c r="B5" s="103">
        <v>2</v>
      </c>
      <c r="C5" s="103">
        <v>4</v>
      </c>
      <c r="D5" s="114">
        <v>2</v>
      </c>
      <c r="E5" s="117" t="s">
        <v>1433</v>
      </c>
      <c r="F5" s="117" t="s">
        <v>1434</v>
      </c>
      <c r="G5" s="117" t="s">
        <v>406</v>
      </c>
      <c r="H5" s="117" t="s">
        <v>544</v>
      </c>
      <c r="I5" s="117" t="s">
        <v>545</v>
      </c>
      <c r="J5" s="103" t="s">
        <v>1486</v>
      </c>
    </row>
    <row r="6" spans="1:10">
      <c r="A6" t="s">
        <v>784</v>
      </c>
      <c r="B6" s="103">
        <v>2</v>
      </c>
      <c r="C6" s="103">
        <v>8</v>
      </c>
      <c r="D6" s="114">
        <v>2</v>
      </c>
      <c r="E6" s="117" t="s">
        <v>1433</v>
      </c>
      <c r="F6" s="117" t="s">
        <v>785</v>
      </c>
      <c r="G6" s="117" t="s">
        <v>786</v>
      </c>
      <c r="H6" s="117" t="s">
        <v>1494</v>
      </c>
      <c r="I6" s="117" t="s">
        <v>1291</v>
      </c>
      <c r="J6" s="103" t="s">
        <v>1440</v>
      </c>
    </row>
    <row r="7" spans="1:10">
      <c r="A7" t="s">
        <v>1015</v>
      </c>
      <c r="B7" s="103">
        <v>1</v>
      </c>
      <c r="C7" s="114">
        <v>3</v>
      </c>
      <c r="D7" s="103">
        <v>15</v>
      </c>
      <c r="E7" s="103" t="s">
        <v>1664</v>
      </c>
      <c r="F7" s="118" t="s">
        <v>1768</v>
      </c>
      <c r="G7" s="117" t="s">
        <v>1418</v>
      </c>
      <c r="H7" s="117" t="s">
        <v>1769</v>
      </c>
      <c r="I7" s="103" t="s">
        <v>1744</v>
      </c>
      <c r="J7" s="103" t="s">
        <v>1486</v>
      </c>
    </row>
    <row r="8" spans="1:10">
      <c r="A8" t="s">
        <v>1102</v>
      </c>
      <c r="B8" s="103">
        <v>2</v>
      </c>
      <c r="C8" s="103">
        <v>3</v>
      </c>
      <c r="D8" s="114">
        <v>4</v>
      </c>
      <c r="E8" s="117" t="s">
        <v>1433</v>
      </c>
      <c r="F8" s="117" t="s">
        <v>1418</v>
      </c>
      <c r="G8" s="117" t="s">
        <v>1502</v>
      </c>
      <c r="H8" s="117" t="s">
        <v>588</v>
      </c>
      <c r="I8" s="117" t="s">
        <v>589</v>
      </c>
      <c r="J8" s="103" t="s">
        <v>1440</v>
      </c>
    </row>
    <row r="9" spans="1:10">
      <c r="A9" t="s">
        <v>1727</v>
      </c>
      <c r="B9" s="103">
        <v>2</v>
      </c>
      <c r="C9" s="103">
        <v>4</v>
      </c>
      <c r="D9" s="114">
        <v>4</v>
      </c>
      <c r="E9" s="117" t="s">
        <v>1433</v>
      </c>
      <c r="F9" s="117" t="s">
        <v>1434</v>
      </c>
      <c r="G9" s="117" t="s">
        <v>1625</v>
      </c>
      <c r="H9" s="117" t="s">
        <v>581</v>
      </c>
      <c r="I9" s="117" t="s">
        <v>575</v>
      </c>
      <c r="J9" s="103" t="s">
        <v>1486</v>
      </c>
    </row>
    <row r="10" spans="1:10">
      <c r="A10" t="s">
        <v>783</v>
      </c>
      <c r="B10" s="103">
        <v>2</v>
      </c>
      <c r="C10" s="103">
        <v>5</v>
      </c>
      <c r="D10" s="114">
        <v>3</v>
      </c>
      <c r="E10" s="117" t="s">
        <v>1433</v>
      </c>
      <c r="F10" s="117" t="s">
        <v>1434</v>
      </c>
      <c r="G10" s="117" t="s">
        <v>1625</v>
      </c>
      <c r="H10" s="117" t="s">
        <v>581</v>
      </c>
      <c r="I10" s="117" t="s">
        <v>575</v>
      </c>
      <c r="J10" s="103" t="s">
        <v>1440</v>
      </c>
    </row>
    <row r="11" spans="1:10">
      <c r="A11" t="s">
        <v>1264</v>
      </c>
      <c r="B11" s="103">
        <v>2</v>
      </c>
      <c r="C11" s="103">
        <v>3</v>
      </c>
      <c r="D11" s="114">
        <v>8</v>
      </c>
      <c r="E11" s="117" t="s">
        <v>1433</v>
      </c>
      <c r="F11" s="117" t="s">
        <v>1418</v>
      </c>
      <c r="G11" s="117" t="s">
        <v>1152</v>
      </c>
      <c r="H11" s="117" t="s">
        <v>1153</v>
      </c>
      <c r="I11" s="117" t="s">
        <v>487</v>
      </c>
      <c r="J11" s="103" t="s">
        <v>1486</v>
      </c>
    </row>
    <row r="12" spans="1:10">
      <c r="A12" t="s">
        <v>557</v>
      </c>
      <c r="B12" s="103">
        <v>1</v>
      </c>
      <c r="C12" s="114">
        <v>3</v>
      </c>
      <c r="D12" s="103">
        <v>20</v>
      </c>
      <c r="E12" s="103" t="s">
        <v>1664</v>
      </c>
      <c r="F12" s="118" t="s">
        <v>1768</v>
      </c>
      <c r="G12" s="117" t="s">
        <v>1418</v>
      </c>
      <c r="H12" s="117" t="s">
        <v>1769</v>
      </c>
      <c r="I12" s="103" t="s">
        <v>1744</v>
      </c>
      <c r="J12" s="103" t="s">
        <v>1486</v>
      </c>
    </row>
    <row r="13" spans="1:10">
      <c r="A13" t="s">
        <v>845</v>
      </c>
      <c r="B13" s="103">
        <v>1</v>
      </c>
      <c r="C13" s="103">
        <v>4</v>
      </c>
      <c r="D13" s="114">
        <v>20</v>
      </c>
      <c r="E13" s="117" t="s">
        <v>1433</v>
      </c>
      <c r="F13" s="117" t="s">
        <v>1418</v>
      </c>
      <c r="G13" s="117" t="s">
        <v>804</v>
      </c>
      <c r="H13" s="117" t="s">
        <v>1109</v>
      </c>
      <c r="I13" s="117" t="s">
        <v>944</v>
      </c>
      <c r="J13" s="103" t="s">
        <v>1486</v>
      </c>
    </row>
    <row r="14" spans="1:10">
      <c r="A14" t="s">
        <v>1704</v>
      </c>
      <c r="B14" s="103">
        <v>1</v>
      </c>
      <c r="C14" s="114">
        <v>4</v>
      </c>
      <c r="D14" s="103">
        <v>0</v>
      </c>
      <c r="E14" s="117" t="s">
        <v>1433</v>
      </c>
      <c r="F14" s="117" t="s">
        <v>1418</v>
      </c>
      <c r="G14" s="117" t="s">
        <v>1874</v>
      </c>
      <c r="H14" s="117" t="s">
        <v>1875</v>
      </c>
      <c r="I14" s="117" t="s">
        <v>1882</v>
      </c>
      <c r="J14" s="103" t="s">
        <v>1486</v>
      </c>
    </row>
    <row r="15" spans="1:10">
      <c r="A15" t="s">
        <v>1131</v>
      </c>
      <c r="B15" s="103">
        <v>1</v>
      </c>
      <c r="C15" s="114">
        <v>3</v>
      </c>
      <c r="D15" s="103">
        <v>8</v>
      </c>
      <c r="E15" s="103" t="s">
        <v>1664</v>
      </c>
      <c r="F15" s="118" t="s">
        <v>1768</v>
      </c>
      <c r="G15" s="117" t="s">
        <v>1418</v>
      </c>
      <c r="H15" s="117" t="s">
        <v>1769</v>
      </c>
      <c r="I15" s="103" t="s">
        <v>1744</v>
      </c>
      <c r="J15" s="103" t="s">
        <v>1486</v>
      </c>
    </row>
    <row r="16" spans="1:10">
      <c r="B16" s="103"/>
      <c r="C16" s="114"/>
      <c r="D16" s="114"/>
    </row>
    <row r="27" spans="1:8">
      <c r="A27" t="s">
        <v>1471</v>
      </c>
      <c r="B27" s="103" t="s">
        <v>1114</v>
      </c>
      <c r="C27" s="103" t="s">
        <v>1472</v>
      </c>
      <c r="D27" s="103" t="s">
        <v>1725</v>
      </c>
      <c r="E27" s="103" t="s">
        <v>1726</v>
      </c>
      <c r="F27" s="103" t="s">
        <v>1352</v>
      </c>
      <c r="H27" t="s">
        <v>1303</v>
      </c>
    </row>
    <row r="28" spans="1:8">
      <c r="A28" t="s">
        <v>1727</v>
      </c>
      <c r="B28" s="117" t="s">
        <v>1433</v>
      </c>
      <c r="C28" s="117" t="s">
        <v>1434</v>
      </c>
      <c r="D28" s="117" t="s">
        <v>1625</v>
      </c>
      <c r="E28" s="117" t="s">
        <v>581</v>
      </c>
      <c r="F28" s="117" t="s">
        <v>575</v>
      </c>
      <c r="H28" s="103">
        <v>4</v>
      </c>
    </row>
    <row r="29" spans="1:8">
      <c r="A29" t="s">
        <v>1264</v>
      </c>
      <c r="B29" s="117" t="s">
        <v>1433</v>
      </c>
      <c r="C29" s="117" t="s">
        <v>1418</v>
      </c>
      <c r="D29" s="117" t="s">
        <v>1152</v>
      </c>
      <c r="E29" s="117" t="s">
        <v>1153</v>
      </c>
      <c r="F29" s="117" t="s">
        <v>487</v>
      </c>
      <c r="H29" s="103">
        <v>3</v>
      </c>
    </row>
    <row r="30" spans="1:8">
      <c r="A30" t="s">
        <v>1130</v>
      </c>
      <c r="B30" s="117" t="s">
        <v>1433</v>
      </c>
      <c r="C30" s="117" t="s">
        <v>1434</v>
      </c>
      <c r="D30" s="117" t="s">
        <v>406</v>
      </c>
      <c r="E30" s="117" t="s">
        <v>544</v>
      </c>
      <c r="F30" s="117" t="s">
        <v>545</v>
      </c>
      <c r="H30" s="103">
        <v>4</v>
      </c>
    </row>
    <row r="31" spans="1:8">
      <c r="A31" t="s">
        <v>1102</v>
      </c>
      <c r="B31" s="117" t="s">
        <v>1433</v>
      </c>
      <c r="C31" s="117" t="s">
        <v>1418</v>
      </c>
      <c r="D31" s="117" t="s">
        <v>1502</v>
      </c>
      <c r="E31" s="117" t="s">
        <v>588</v>
      </c>
      <c r="F31" s="117" t="s">
        <v>589</v>
      </c>
      <c r="H31" s="103">
        <v>3</v>
      </c>
    </row>
    <row r="32" spans="1:8">
      <c r="A32" t="s">
        <v>783</v>
      </c>
      <c r="B32" s="117" t="s">
        <v>1433</v>
      </c>
      <c r="C32" s="117" t="s">
        <v>1434</v>
      </c>
      <c r="D32" s="117" t="s">
        <v>1625</v>
      </c>
      <c r="E32" s="117" t="s">
        <v>581</v>
      </c>
      <c r="F32" s="117" t="s">
        <v>575</v>
      </c>
      <c r="H32" s="103">
        <v>5</v>
      </c>
    </row>
    <row r="33" spans="1:8">
      <c r="A33" t="s">
        <v>784</v>
      </c>
      <c r="B33" s="117" t="s">
        <v>1433</v>
      </c>
      <c r="C33" s="117" t="s">
        <v>785</v>
      </c>
      <c r="D33" s="117" t="s">
        <v>786</v>
      </c>
      <c r="E33" s="117" t="s">
        <v>1494</v>
      </c>
      <c r="F33" s="117" t="s">
        <v>1291</v>
      </c>
      <c r="H33" s="103">
        <v>8</v>
      </c>
    </row>
    <row r="34" spans="1:8">
      <c r="A34" t="s">
        <v>845</v>
      </c>
      <c r="B34" s="117" t="s">
        <v>1433</v>
      </c>
      <c r="C34" s="117" t="s">
        <v>1418</v>
      </c>
      <c r="D34" s="117" t="s">
        <v>804</v>
      </c>
      <c r="E34" s="117" t="s">
        <v>1109</v>
      </c>
      <c r="F34" s="117" t="s">
        <v>944</v>
      </c>
      <c r="H34" s="103">
        <v>4</v>
      </c>
    </row>
    <row r="36" spans="1:8">
      <c r="A36" t="s">
        <v>1492</v>
      </c>
      <c r="B36" t="s">
        <v>1077</v>
      </c>
      <c r="C36" t="s">
        <v>908</v>
      </c>
    </row>
    <row r="37" spans="1:8">
      <c r="A37" t="s">
        <v>910</v>
      </c>
      <c r="B37" s="103">
        <v>0</v>
      </c>
      <c r="C37" t="s">
        <v>655</v>
      </c>
    </row>
    <row r="38" spans="1:8">
      <c r="A38" t="s">
        <v>1706</v>
      </c>
      <c r="B38" s="103">
        <v>-1</v>
      </c>
      <c r="C38" t="s">
        <v>1197</v>
      </c>
    </row>
    <row r="39" spans="1:8">
      <c r="A39" t="s">
        <v>1198</v>
      </c>
      <c r="B39" s="103">
        <v>-1</v>
      </c>
      <c r="C39" t="s">
        <v>1827</v>
      </c>
    </row>
    <row r="40" spans="1:8">
      <c r="A40" t="s">
        <v>1157</v>
      </c>
      <c r="B40" s="117" t="s">
        <v>1652</v>
      </c>
      <c r="C40" t="s">
        <v>595</v>
      </c>
    </row>
    <row r="41" spans="1:8">
      <c r="A41" t="s">
        <v>596</v>
      </c>
      <c r="B41" s="117" t="s">
        <v>1830</v>
      </c>
      <c r="C41" t="s">
        <v>846</v>
      </c>
    </row>
    <row r="42" spans="1:8">
      <c r="A42" t="s">
        <v>856</v>
      </c>
      <c r="B42" s="103">
        <v>0</v>
      </c>
      <c r="C42" t="s">
        <v>595</v>
      </c>
    </row>
    <row r="43" spans="1:8">
      <c r="A43" t="s">
        <v>849</v>
      </c>
      <c r="B43" s="103">
        <v>-1</v>
      </c>
      <c r="C43" t="s">
        <v>846</v>
      </c>
    </row>
    <row r="44" spans="1:8">
      <c r="A44" t="s">
        <v>1527</v>
      </c>
      <c r="B44" s="103">
        <v>0</v>
      </c>
      <c r="C44" t="s">
        <v>1535</v>
      </c>
    </row>
    <row r="48" spans="1:8">
      <c r="A48" s="96"/>
      <c r="B48" s="4"/>
      <c r="C48" s="4"/>
      <c r="D48" s="4"/>
      <c r="E48" s="4"/>
      <c r="F48" s="4"/>
      <c r="G48" s="4"/>
    </row>
    <row r="49" spans="2:7">
      <c r="B49" s="103"/>
      <c r="C49" s="117"/>
      <c r="D49" s="117"/>
      <c r="E49" s="103"/>
      <c r="F49" s="103"/>
      <c r="G49" s="103"/>
    </row>
    <row r="50" spans="2:7">
      <c r="B50" s="117"/>
      <c r="C50" s="117"/>
      <c r="D50" s="117"/>
      <c r="E50" s="117"/>
      <c r="F50" s="117"/>
      <c r="G50" s="103"/>
    </row>
    <row r="51" spans="2:7">
      <c r="B51" s="117"/>
      <c r="C51" s="117"/>
      <c r="D51" s="117"/>
      <c r="E51" s="117"/>
      <c r="F51" s="117"/>
      <c r="G51" s="103"/>
    </row>
    <row r="52" spans="2:7">
      <c r="B52" s="103"/>
      <c r="C52" s="118"/>
      <c r="D52" s="117"/>
      <c r="E52" s="117"/>
      <c r="F52" s="103"/>
      <c r="G52" s="103"/>
    </row>
    <row r="53" spans="2:7">
      <c r="B53" s="117"/>
      <c r="C53" s="117"/>
      <c r="D53" s="117"/>
      <c r="E53" s="117"/>
      <c r="F53" s="117"/>
      <c r="G53" s="103"/>
    </row>
    <row r="54" spans="2:7">
      <c r="B54" s="117"/>
      <c r="C54" s="117"/>
      <c r="D54" s="117"/>
      <c r="E54" s="117"/>
      <c r="F54" s="117"/>
      <c r="G54" s="103"/>
    </row>
    <row r="55" spans="2:7">
      <c r="B55" s="117"/>
      <c r="C55" s="117"/>
      <c r="D55" s="117"/>
      <c r="E55" s="117"/>
      <c r="F55" s="117"/>
      <c r="G55" s="103"/>
    </row>
    <row r="56" spans="2:7">
      <c r="B56" s="117"/>
      <c r="C56" s="117"/>
      <c r="D56" s="117"/>
      <c r="E56" s="117"/>
      <c r="F56" s="117"/>
      <c r="G56" s="103"/>
    </row>
    <row r="57" spans="2:7">
      <c r="B57" s="103"/>
      <c r="C57" s="118"/>
      <c r="D57" s="117"/>
      <c r="E57" s="117"/>
      <c r="F57" s="103"/>
      <c r="G57" s="103"/>
    </row>
    <row r="58" spans="2:7">
      <c r="B58" s="117"/>
      <c r="C58" s="117"/>
      <c r="D58" s="117"/>
      <c r="E58" s="117"/>
      <c r="F58" s="117"/>
      <c r="G58" s="103"/>
    </row>
    <row r="59" spans="2:7">
      <c r="B59" s="117"/>
      <c r="C59" s="117"/>
      <c r="D59" s="117"/>
      <c r="E59" s="117"/>
      <c r="F59" s="117"/>
      <c r="G59" s="103"/>
    </row>
    <row r="60" spans="2:7">
      <c r="B60" s="103"/>
      <c r="C60" s="118"/>
      <c r="D60" s="117"/>
      <c r="E60" s="117"/>
      <c r="F60" s="103"/>
      <c r="G60" s="103"/>
    </row>
  </sheetData>
  <sheetCalcPr fullCalcOnLoad="1"/>
  <phoneticPr fontId="6"/>
  <pageMargins left="0.75" right="0.75" top="1" bottom="1" header="0.5" footer="0.5"/>
  <ignoredErrors>
    <ignoredError sqref="G8 G11 G13 D29 D31 D34" twoDigitTextYear="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CharSheetFront</vt:lpstr>
      <vt:lpstr>CharSheetBack</vt:lpstr>
      <vt:lpstr>Species</vt:lpstr>
      <vt:lpstr>Stat Bonuses</vt:lpstr>
      <vt:lpstr>Skills</vt:lpstr>
      <vt:lpstr>Adv-Disadv</vt:lpstr>
      <vt:lpstr>Armor</vt:lpstr>
      <vt:lpstr>Melee</vt:lpstr>
      <vt:lpstr>Distance</vt:lpstr>
      <vt:lpstr>Firearms</vt:lpstr>
      <vt:lpstr>FrontEcho</vt:lpstr>
      <vt:lpstr>BackEcho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Lenox</dc:creator>
  <cp:lastModifiedBy>William Lenox</cp:lastModifiedBy>
  <cp:lastPrinted>2013-09-27T15:56:11Z</cp:lastPrinted>
  <dcterms:created xsi:type="dcterms:W3CDTF">2002-04-02T03:07:14Z</dcterms:created>
  <dcterms:modified xsi:type="dcterms:W3CDTF">2013-09-29T19:02:53Z</dcterms:modified>
</cp:coreProperties>
</file>