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6400" windowHeight="15400" activeTab="0"/>
  </bookViews>
  <sheets>
    <sheet name="CharSheetFront" sheetId="1" r:id="rId1"/>
    <sheet name="CharSheetBack" sheetId="2" r:id="rId2"/>
    <sheet name="Species" sheetId="3" r:id="rId3"/>
    <sheet name="Stat Bonuses" sheetId="4" r:id="rId4"/>
    <sheet name="Skills" sheetId="5" r:id="rId5"/>
    <sheet name="Armor" sheetId="6" r:id="rId6"/>
    <sheet name="Melee" sheetId="7" r:id="rId7"/>
    <sheet name="Distance" sheetId="8" r:id="rId8"/>
    <sheet name="Firearms" sheetId="9" r:id="rId9"/>
    <sheet name="FrontEcho" sheetId="10" r:id="rId10"/>
    <sheet name="BackEcho" sheetId="11" r:id="rId11"/>
  </sheets>
  <definedNames>
    <definedName name="Page1">'CharSheetFront'!$A$1:$G$51</definedName>
    <definedName name="Page2">'CharSheetFront'!$H$1:$N$51</definedName>
    <definedName name="Page3">'CharSheetBack'!$A$1:$H$51</definedName>
    <definedName name="Page4">'CharSheetBack'!$I$1:$O$51</definedName>
    <definedName name="_xlnm.Print_Area" localSheetId="1">'CharSheetBack'!$A$1:$O$51</definedName>
    <definedName name="_xlnm.Print_Area" localSheetId="0">'CharSheetFront'!$A$1:$N$51</definedName>
  </definedNames>
  <calcPr fullCalcOnLoad="1"/>
</workbook>
</file>

<file path=xl/sharedStrings.xml><?xml version="1.0" encoding="utf-8"?>
<sst xmlns="http://schemas.openxmlformats.org/spreadsheetml/2006/main" count="3657" uniqueCount="1232">
  <si>
    <t>Cannot penetrate hardened armor (value greater than 5)</t>
  </si>
  <si>
    <t>Talmaron</t>
  </si>
  <si>
    <t>Space Pilot, Interplanetary</t>
  </si>
  <si>
    <t>*Combat Pilot Atmosphere</t>
  </si>
  <si>
    <t>*Combat Pilot FTL</t>
  </si>
  <si>
    <t>Tech 18 Blaster Rifle 5mm</t>
  </si>
  <si>
    <t>Rifle 7.92 Patronen 318</t>
  </si>
  <si>
    <t>*High G Environ</t>
  </si>
  <si>
    <t>*Orbital Assault</t>
  </si>
  <si>
    <t>*Parachute Assault</t>
  </si>
  <si>
    <t>*Street Combat</t>
  </si>
  <si>
    <t>*Tech Use, High</t>
  </si>
  <si>
    <t>*Tech Use, Low</t>
  </si>
  <si>
    <t>Grenade Launcher</t>
  </si>
  <si>
    <t>Stealth</t>
  </si>
  <si>
    <t>Gunsmith</t>
  </si>
  <si>
    <t>Hacking</t>
  </si>
  <si>
    <t>Hand Axe</t>
  </si>
  <si>
    <t>Handloading</t>
  </si>
  <si>
    <t>History</t>
  </si>
  <si>
    <t>12 Gauge Shotgun 8</t>
  </si>
  <si>
    <t>12 Gauge Shotgun 9</t>
  </si>
  <si>
    <t>12 Gauge Shotgun Slug</t>
  </si>
  <si>
    <t>16 Gauge Shotgun 1 Buck</t>
  </si>
  <si>
    <t>16 Gauge Shotgun 2 Buck</t>
  </si>
  <si>
    <t>16 Gauge Shotgun 3 Buck</t>
  </si>
  <si>
    <t>16 Gauge Shotgun 4 Buck</t>
  </si>
  <si>
    <t>Jump Belt/Contragrav Harness/Grav Belt</t>
  </si>
  <si>
    <t>Kendo</t>
  </si>
  <si>
    <t>Knowledge Skills</t>
  </si>
  <si>
    <t>Lab Technique</t>
  </si>
  <si>
    <t>Flail</t>
  </si>
  <si>
    <t>Foil</t>
  </si>
  <si>
    <t>Frying Pan</t>
  </si>
  <si>
    <t>Gladius</t>
  </si>
  <si>
    <t>Glaive</t>
  </si>
  <si>
    <t>Halberd</t>
  </si>
  <si>
    <t>Laser Sword</t>
  </si>
  <si>
    <t>Laser Technology</t>
  </si>
  <si>
    <t>Law</t>
  </si>
  <si>
    <t>Leadership</t>
  </si>
  <si>
    <t>Zero G Maneuvers</t>
  </si>
  <si>
    <t>Hardened Heavy Leather</t>
  </si>
  <si>
    <t>Hardened Leather</t>
  </si>
  <si>
    <t>Heavy Cloth</t>
  </si>
  <si>
    <t>Heavy Hide</t>
  </si>
  <si>
    <t>Heavy Leather</t>
  </si>
  <si>
    <t>Knife, Kukri</t>
  </si>
  <si>
    <t>Padded Leather</t>
  </si>
  <si>
    <t>Scaled Hide</t>
  </si>
  <si>
    <t>Full Heavy Armor Suit</t>
  </si>
  <si>
    <t>Light Security Armor</t>
  </si>
  <si>
    <t>Combat Rifle</t>
  </si>
  <si>
    <t>Heavy Sniper Rifle</t>
  </si>
  <si>
    <t>LMG</t>
  </si>
  <si>
    <t>41-120</t>
  </si>
  <si>
    <t>Chemistry, General</t>
  </si>
  <si>
    <t>Chemistry, Metallurgy</t>
  </si>
  <si>
    <t>Club/Cudgel</t>
  </si>
  <si>
    <t>Pack 20</t>
  </si>
  <si>
    <t>Rifle .30-30</t>
  </si>
  <si>
    <t>Rifle .32-30</t>
  </si>
  <si>
    <t>Rifle .338 Magnum</t>
  </si>
  <si>
    <t>Pack 100</t>
  </si>
  <si>
    <t>Fusion Assault Cannon</t>
  </si>
  <si>
    <t>Tangle Pistol</t>
  </si>
  <si>
    <t>Tangle Rifle</t>
  </si>
  <si>
    <t>Physics, Force Field</t>
  </si>
  <si>
    <t>Physics, General</t>
  </si>
  <si>
    <t>Communications, Television</t>
  </si>
  <si>
    <t>Computer Programming</t>
  </si>
  <si>
    <t>Distance Weapons</t>
  </si>
  <si>
    <t>Rifle 222 Magnum</t>
  </si>
  <si>
    <t>Rifle 243</t>
  </si>
  <si>
    <t>Rifle 250</t>
  </si>
  <si>
    <t>Rifle 257</t>
  </si>
  <si>
    <t>Rifle 257 magnum</t>
  </si>
  <si>
    <t>Rifle 264 Magnum</t>
  </si>
  <si>
    <t>Rifle 270</t>
  </si>
  <si>
    <t>Tech 14 Laser Carbine 5mm</t>
  </si>
  <si>
    <t>Damage Monitor</t>
  </si>
  <si>
    <t>Concealment</t>
  </si>
  <si>
    <t>Credibility</t>
  </si>
  <si>
    <t>Crossbow</t>
  </si>
  <si>
    <t>Cryptography</t>
  </si>
  <si>
    <t>Culture, Comparative</t>
  </si>
  <si>
    <t>Culture, Main</t>
  </si>
  <si>
    <t>Cybertechnology</t>
  </si>
  <si>
    <t>Power Generation, Anti-Matter</t>
  </si>
  <si>
    <t>Culture, Subculture</t>
  </si>
  <si>
    <t>Cutlass</t>
  </si>
  <si>
    <t>Cyber Implant Combat</t>
  </si>
  <si>
    <t>Mesh</t>
  </si>
  <si>
    <t>Reflec</t>
  </si>
  <si>
    <t>Ablative</t>
  </si>
  <si>
    <t>Power Generation, Portable</t>
  </si>
  <si>
    <t>Power Generation, Solar</t>
  </si>
  <si>
    <t>Power Transfer, Beam</t>
  </si>
  <si>
    <t>Power Transfer, Line</t>
  </si>
  <si>
    <t>Riot Shield, Small</t>
  </si>
  <si>
    <t>D</t>
  </si>
  <si>
    <t>D6</t>
  </si>
  <si>
    <t>D6+</t>
  </si>
  <si>
    <t>Scaled Leather</t>
  </si>
  <si>
    <t>Ring Mail (Bronze)</t>
  </si>
  <si>
    <t>Powered Armor</t>
  </si>
  <si>
    <t>Type</t>
  </si>
  <si>
    <t>301-500</t>
  </si>
  <si>
    <t>Sniper Rifle</t>
  </si>
  <si>
    <t>MMG</t>
  </si>
  <si>
    <t>41-150</t>
  </si>
  <si>
    <t>Rifle .350 Magnum</t>
  </si>
  <si>
    <t>Pack 50</t>
  </si>
  <si>
    <t>Fusion MG</t>
  </si>
  <si>
    <t>Communications Science</t>
  </si>
  <si>
    <t>Communications, Radio</t>
  </si>
  <si>
    <t>Communications, Subspace Radio</t>
  </si>
  <si>
    <t>Communications, Telegraph</t>
  </si>
  <si>
    <t>Physics, Hyper Dimension</t>
  </si>
  <si>
    <t>Physics, Nuclear</t>
  </si>
  <si>
    <t>Physics, Temporal</t>
  </si>
  <si>
    <t>Pilot, Aerostat</t>
  </si>
  <si>
    <t>Short Range</t>
  </si>
  <si>
    <t>Long Range</t>
  </si>
  <si>
    <t>Damage</t>
  </si>
  <si>
    <t>Fire Arms</t>
  </si>
  <si>
    <t>Point Blank</t>
  </si>
  <si>
    <t>Impact</t>
  </si>
  <si>
    <t>Ballistic</t>
  </si>
  <si>
    <t>Energy</t>
  </si>
  <si>
    <t>Penalty</t>
  </si>
  <si>
    <t>Superficial</t>
  </si>
  <si>
    <t>Minor</t>
  </si>
  <si>
    <t>Moderate</t>
  </si>
  <si>
    <t>Severe</t>
  </si>
  <si>
    <t>Critical</t>
  </si>
  <si>
    <t>Mortal</t>
  </si>
  <si>
    <t>Dead</t>
  </si>
  <si>
    <t>Plasma Gun</t>
  </si>
  <si>
    <t>Plastics Forming</t>
  </si>
  <si>
    <t>Plastics Synthesizing</t>
  </si>
  <si>
    <t>Polearm/Staff</t>
  </si>
  <si>
    <t>Politics</t>
  </si>
  <si>
    <t xml:space="preserve">  Eyes:</t>
  </si>
  <si>
    <t xml:space="preserve">  Hair:</t>
  </si>
  <si>
    <t xml:space="preserve">  ID Number:</t>
  </si>
  <si>
    <t xml:space="preserve">  Skin:</t>
  </si>
  <si>
    <t xml:space="preserve">  Handedness:</t>
  </si>
  <si>
    <t>Typical Attire:</t>
  </si>
  <si>
    <t>Additional Skills</t>
  </si>
  <si>
    <t>Heavy Military Helmet</t>
  </si>
  <si>
    <t>Security Helmet</t>
  </si>
  <si>
    <t>Impact Armor</t>
  </si>
  <si>
    <t>Body Shield</t>
  </si>
  <si>
    <t xml:space="preserve">Buckler </t>
  </si>
  <si>
    <t>Footman's Shield</t>
  </si>
  <si>
    <t>Rider's Shield</t>
  </si>
  <si>
    <t>Riot Shield, Large</t>
  </si>
  <si>
    <t>Armor Piercing Arrow</t>
  </si>
  <si>
    <t>Negates 2 points of armor</t>
  </si>
  <si>
    <t>Hunting Arror</t>
  </si>
  <si>
    <t>+1</t>
  </si>
  <si>
    <t>Space Pilot, FTL</t>
  </si>
  <si>
    <t>Skill Total</t>
  </si>
  <si>
    <t>Forced March</t>
  </si>
  <si>
    <t>*Armored Forces</t>
  </si>
  <si>
    <t>*Combat Driver</t>
  </si>
  <si>
    <t>Tech 18 Blaster Carbine 5mm</t>
  </si>
  <si>
    <t>Rifle 7.62 Short</t>
  </si>
  <si>
    <t>Rifle 7.62mm Russian</t>
  </si>
  <si>
    <t>Rifle 7.7mm Arisaka</t>
  </si>
  <si>
    <t>Rifle 7.92 Kurz</t>
  </si>
  <si>
    <t>Tech 18 Blaster Assault Rifle 5mm</t>
  </si>
  <si>
    <t>Tech 18 Blaster LMG 5mm</t>
  </si>
  <si>
    <t>Tech 18 Blaster MMG 5mm</t>
  </si>
  <si>
    <t>Gunnery/Heavy Weapons/Machine Guns</t>
  </si>
  <si>
    <t>*Zero G Environment</t>
  </si>
  <si>
    <t>Hobby/Interests</t>
  </si>
  <si>
    <t>Varies</t>
  </si>
  <si>
    <t>Acting</t>
  </si>
  <si>
    <t>Administration</t>
  </si>
  <si>
    <t>12 Gauge Shotgun 7</t>
  </si>
  <si>
    <t>12 Gauge Shotgun 6</t>
  </si>
  <si>
    <t>Intuition/Psychic</t>
  </si>
  <si>
    <t>Intuition/Psychicchic</t>
  </si>
  <si>
    <t>Rifle 7mm Magnum</t>
  </si>
  <si>
    <t>16 Gauge Shotgun 2</t>
  </si>
  <si>
    <t>16 Gauge Shotgun 4</t>
  </si>
  <si>
    <t>16 Gauge Shotgun 5</t>
  </si>
  <si>
    <t>Arcane Mutterings</t>
  </si>
  <si>
    <t>Archeology</t>
  </si>
  <si>
    <t>Archery</t>
  </si>
  <si>
    <t>Architecture</t>
  </si>
  <si>
    <t>Armorer, Armor</t>
  </si>
  <si>
    <t>Armorer, Power Armor</t>
  </si>
  <si>
    <t>Art Theory</t>
  </si>
  <si>
    <t>Leatherworking</t>
  </si>
  <si>
    <t>Impact Rating</t>
  </si>
  <si>
    <t>Ballistic Rating</t>
  </si>
  <si>
    <t>Energy Rating</t>
  </si>
  <si>
    <t>Lockpicking, Electronic</t>
  </si>
  <si>
    <t>Lockpicking, Mechanical</t>
  </si>
  <si>
    <t>Maneuver</t>
  </si>
  <si>
    <t>Masonry</t>
  </si>
  <si>
    <t>Math, Advanced</t>
  </si>
  <si>
    <t>Math, Basic</t>
  </si>
  <si>
    <t>Mechanic, Aircraft</t>
  </si>
  <si>
    <t>Light Cloth</t>
  </si>
  <si>
    <t>Light Hide</t>
  </si>
  <si>
    <t>Light Leather</t>
  </si>
  <si>
    <t>Medium Security Armor</t>
  </si>
  <si>
    <t>Heavy Security Armor</t>
  </si>
  <si>
    <t>Space Pilot, Orbital</t>
  </si>
  <si>
    <t>*Combat Pilot Inter-Planetary</t>
  </si>
  <si>
    <t>*Combat Pilot Orbital</t>
  </si>
  <si>
    <t>*Combat Training</t>
  </si>
  <si>
    <t>Gambling</t>
  </si>
  <si>
    <t>Gauss Technology</t>
  </si>
  <si>
    <t>Genealogy</t>
  </si>
  <si>
    <t>Geography</t>
  </si>
  <si>
    <t>Geology</t>
  </si>
  <si>
    <t>Gravitics</t>
  </si>
  <si>
    <t>Style</t>
  </si>
  <si>
    <t>Submachineguns</t>
  </si>
  <si>
    <t>Subterfuge</t>
  </si>
  <si>
    <t>Hunting</t>
  </si>
  <si>
    <t>Survey</t>
  </si>
  <si>
    <t>Tailor</t>
  </si>
  <si>
    <t>Hypnotize</t>
  </si>
  <si>
    <t>Imaging (Photography/Camera)</t>
  </si>
  <si>
    <t>Aerial Recon Interpretation</t>
  </si>
  <si>
    <t>Animal Bond</t>
  </si>
  <si>
    <t>Animal Handling</t>
  </si>
  <si>
    <t>Animal Herding</t>
  </si>
  <si>
    <t>Animal Riding</t>
  </si>
  <si>
    <t>Animal Training</t>
  </si>
  <si>
    <t>Animal Understanding</t>
  </si>
  <si>
    <t>Anthropology</t>
  </si>
  <si>
    <t>Xenorelations (Sentient Relations)</t>
  </si>
  <si>
    <t>Cinquedea</t>
  </si>
  <si>
    <t>Claymore</t>
  </si>
  <si>
    <t>Club</t>
  </si>
  <si>
    <t>Cudgel</t>
  </si>
  <si>
    <t>Dirk</t>
  </si>
  <si>
    <t>Falchion</t>
  </si>
  <si>
    <t>400 Rounds 4mm gauss</t>
  </si>
  <si>
    <t>ATV</t>
  </si>
  <si>
    <t>Creepy</t>
  </si>
  <si>
    <t>Vibro-Axe</t>
  </si>
  <si>
    <t>Vibro-Sword</t>
  </si>
  <si>
    <t>Lined Coat</t>
  </si>
  <si>
    <t>Hammer, Claw</t>
  </si>
  <si>
    <t>Hammer, War</t>
  </si>
  <si>
    <t>Hoe</t>
  </si>
  <si>
    <t>Holy Water Sp</t>
  </si>
  <si>
    <t>Jo Stick</t>
  </si>
  <si>
    <t>Knife, Belt</t>
  </si>
  <si>
    <t>Knife, Bowie</t>
  </si>
  <si>
    <t>Knife, Butcher</t>
  </si>
  <si>
    <t>Knife, Jack</t>
  </si>
  <si>
    <t>Knife, Khyber</t>
  </si>
  <si>
    <t>Pistol</t>
  </si>
  <si>
    <t>Heavy Pistol</t>
  </si>
  <si>
    <t>21-40</t>
  </si>
  <si>
    <t>41-60</t>
  </si>
  <si>
    <t>SMG</t>
  </si>
  <si>
    <t>0-4</t>
  </si>
  <si>
    <t>41-80</t>
  </si>
  <si>
    <t>21-50</t>
  </si>
  <si>
    <t>Sporting Rifle</t>
  </si>
  <si>
    <t>31-60</t>
  </si>
  <si>
    <t>61-150</t>
  </si>
  <si>
    <t>251-500</t>
  </si>
  <si>
    <t>Parachute</t>
  </si>
  <si>
    <t>Rifle .300 Winchester Magnum</t>
  </si>
  <si>
    <t>Rifle .303 British</t>
  </si>
  <si>
    <t>Tech 17 Laser HMG 10mm</t>
  </si>
  <si>
    <t>Tech 15 Blaster Pistol 5mm</t>
  </si>
  <si>
    <t>Tech 15 Blaster Carbine 5mm</t>
  </si>
  <si>
    <t>Dying</t>
  </si>
  <si>
    <t>Lethal Damage</t>
  </si>
  <si>
    <t>Back-off</t>
  </si>
  <si>
    <t>Range Table</t>
  </si>
  <si>
    <t>6-15</t>
  </si>
  <si>
    <t>5-10</t>
  </si>
  <si>
    <t>11-40</t>
  </si>
  <si>
    <t>Communications, Telephone</t>
  </si>
  <si>
    <t>Communications, Tri-D Holovision</t>
  </si>
  <si>
    <t>Melee Weapons</t>
  </si>
  <si>
    <t>Pistol .22 Scamp</t>
  </si>
  <si>
    <t>Pistol .22 Short</t>
  </si>
  <si>
    <t>Pistol .22 Stinger</t>
  </si>
  <si>
    <t>Pistol .221 Fireball</t>
  </si>
  <si>
    <t>Tech 14 Laser Rifle 5mm</t>
  </si>
  <si>
    <t>Tech 14 Laser Assault Rifle 5mm</t>
  </si>
  <si>
    <t>Tech 14 Laser LMG 5mm</t>
  </si>
  <si>
    <t>Physical Attributes</t>
  </si>
  <si>
    <t>Mental Attributes</t>
  </si>
  <si>
    <t>Cybernetics Technician</t>
  </si>
  <si>
    <t>Tech 14 Laser HMG 10mm</t>
  </si>
  <si>
    <t>Secondary Attributes</t>
  </si>
  <si>
    <t>Armor/Shield</t>
  </si>
  <si>
    <t>Dagger/Knife</t>
  </si>
  <si>
    <t>Dance</t>
  </si>
  <si>
    <t>Power Generation, Electric</t>
  </si>
  <si>
    <t>Power Generation, Mechanical</t>
  </si>
  <si>
    <t>Power Generation, Nuclear</t>
  </si>
  <si>
    <t>Distillation</t>
  </si>
  <si>
    <t>Dodge</t>
  </si>
  <si>
    <t>Driver, All Terrain Vehicle</t>
  </si>
  <si>
    <t>Phys Defense Dodging</t>
  </si>
  <si>
    <t>Phys Defense W Shield</t>
  </si>
  <si>
    <t>Trotting</t>
  </si>
  <si>
    <t>Sprinting</t>
  </si>
  <si>
    <t>Flying</t>
  </si>
  <si>
    <t>Psychic Abilities</t>
  </si>
  <si>
    <t>Primitive Siege Engine</t>
  </si>
  <si>
    <t>Production, Anti-Matter</t>
  </si>
  <si>
    <t>Ring Mail (Iron)</t>
  </si>
  <si>
    <t>Light Form-Fitting Body Armor</t>
  </si>
  <si>
    <t>Egg Globes: 4 ®, 1 (W), 2 (B)</t>
  </si>
  <si>
    <t>Combat Engineer Construction</t>
  </si>
  <si>
    <t>Fusion Rifle</t>
  </si>
  <si>
    <t>Combat Engineer Fortifications</t>
  </si>
  <si>
    <t>Command</t>
  </si>
  <si>
    <t>Commerce</t>
  </si>
  <si>
    <t>Combat Engineer Demolitions</t>
  </si>
  <si>
    <t>Performance Art</t>
  </si>
  <si>
    <t>Persuasion</t>
  </si>
  <si>
    <t>Phaser Technology</t>
  </si>
  <si>
    <t>Philosophy</t>
  </si>
  <si>
    <t>Empilon</t>
  </si>
  <si>
    <t>Fabulon</t>
  </si>
  <si>
    <t>Armorion</t>
  </si>
  <si>
    <t>Hercuweave</t>
  </si>
  <si>
    <t>Kevlar</t>
  </si>
  <si>
    <t>Armor Clothing</t>
  </si>
  <si>
    <t>Armor Jacket</t>
  </si>
  <si>
    <t>Pickpocket</t>
  </si>
  <si>
    <t>Pilot, Glider</t>
  </si>
  <si>
    <t>Pilot, Remote</t>
  </si>
  <si>
    <t>Pilot, Rotary Wing</t>
  </si>
  <si>
    <t>Computer Systems Design</t>
  </si>
  <si>
    <t>Computer Technician</t>
  </si>
  <si>
    <t>Conceal Weapon</t>
  </si>
  <si>
    <t>Conversation</t>
  </si>
  <si>
    <t>Cooking</t>
  </si>
  <si>
    <t>Counterfeiting</t>
  </si>
  <si>
    <t>Creature Analysis</t>
  </si>
  <si>
    <t>Distinguishing Marks:</t>
  </si>
  <si>
    <t>Date of Birth:</t>
  </si>
  <si>
    <t>Height:</t>
  </si>
  <si>
    <t>Weight:</t>
  </si>
  <si>
    <t xml:space="preserve">  Age:</t>
  </si>
  <si>
    <t>Taunt</t>
  </si>
  <si>
    <t>Theater</t>
  </si>
  <si>
    <t>Theology</t>
  </si>
  <si>
    <t>Two-Hand Sword</t>
  </si>
  <si>
    <t>Underwater Combat</t>
  </si>
  <si>
    <t>Vacc Suit</t>
  </si>
  <si>
    <t>Weaponsmithing</t>
  </si>
  <si>
    <t xml:space="preserve">Weaving/Spinning </t>
  </si>
  <si>
    <t>Whips</t>
  </si>
  <si>
    <t>Wilderness Survival</t>
  </si>
  <si>
    <t>Writing</t>
  </si>
  <si>
    <t>Practice arrow, cannot penetrate hardened armor (value greater than 5)</t>
  </si>
  <si>
    <t>Barbed Arrow</t>
  </si>
  <si>
    <t>Two Pistols</t>
  </si>
  <si>
    <t>Big Game Rifle</t>
  </si>
  <si>
    <t>0-10</t>
  </si>
  <si>
    <t>Sociology</t>
  </si>
  <si>
    <t>D20+</t>
  </si>
  <si>
    <t>Rifle 7.62 NATO .308 Win</t>
  </si>
  <si>
    <t>Pistol .45 Colt</t>
  </si>
  <si>
    <t>Radio Controlled Detonators</t>
  </si>
  <si>
    <t>SMG Ingram Model 10</t>
  </si>
  <si>
    <t>SMG M1928A1 Thompson</t>
  </si>
  <si>
    <t>SMG M1A1 Thompson</t>
  </si>
  <si>
    <t>Full Auto 20</t>
  </si>
  <si>
    <t>Auto 10</t>
  </si>
  <si>
    <t>Battery 5</t>
  </si>
  <si>
    <t>Battery 6</t>
  </si>
  <si>
    <t>16 Gauge Shotgun 8</t>
  </si>
  <si>
    <t>16 Gauge Shotgun 9</t>
  </si>
  <si>
    <t>16 Gauge Shotgun Slug</t>
  </si>
  <si>
    <t>20 Gauge Shotgun 2 Buck</t>
  </si>
  <si>
    <t>20 Gauge Shotgun 3 Buck</t>
  </si>
  <si>
    <t>20 Gauge Shotgun 4 Buck</t>
  </si>
  <si>
    <t>20 Gauge Shotgun 2</t>
  </si>
  <si>
    <t>Rifle .45-70</t>
  </si>
  <si>
    <t>Rifle 7mm Mauser</t>
  </si>
  <si>
    <t>Rifle 8mm Mauser</t>
  </si>
  <si>
    <t>Rifle Gyrojet</t>
  </si>
  <si>
    <t>Rifle HK 36 experimental</t>
  </si>
  <si>
    <t>Rifle Patronen 4.7 DE11</t>
  </si>
  <si>
    <t>Rifle XM645 Flechette</t>
  </si>
  <si>
    <t>16 Gauge Shotgun 6</t>
  </si>
  <si>
    <t>Artillery Tech, Archaic</t>
  </si>
  <si>
    <t>12 Gauge Shotgun 4 Buck</t>
  </si>
  <si>
    <t>Artillery Tech, Energy</t>
  </si>
  <si>
    <t>Char Points Earned</t>
  </si>
  <si>
    <t>Legerdemain</t>
  </si>
  <si>
    <t>Liaison</t>
  </si>
  <si>
    <t>Linguistics</t>
  </si>
  <si>
    <t>Lip Reading</t>
  </si>
  <si>
    <t>Literacy (Read &amp; Write)</t>
  </si>
  <si>
    <t>Literature</t>
  </si>
  <si>
    <t>Fame Level</t>
  </si>
  <si>
    <t>Strength</t>
  </si>
  <si>
    <t>Endurance</t>
  </si>
  <si>
    <t>Dexterity</t>
  </si>
  <si>
    <t>Agility</t>
  </si>
  <si>
    <t>Original</t>
  </si>
  <si>
    <t>20 Gauge Shotgun Slug</t>
  </si>
  <si>
    <t>28 Gauge Shotgun 4</t>
  </si>
  <si>
    <t>28 Gauge Shotgun 5</t>
  </si>
  <si>
    <t>Mechanic, Alien Environ Vehicles</t>
  </si>
  <si>
    <t>Species Mod</t>
  </si>
  <si>
    <t>Padded Cloth</t>
  </si>
  <si>
    <t>Natural Armor Hide</t>
  </si>
  <si>
    <t>Natural Armor Leather</t>
  </si>
  <si>
    <t>Light Military Armor</t>
  </si>
  <si>
    <t>None</t>
  </si>
  <si>
    <t>81-200</t>
  </si>
  <si>
    <t>201-400</t>
  </si>
  <si>
    <t>Fusion Gun</t>
  </si>
  <si>
    <t>Forward Observer</t>
  </si>
  <si>
    <t>*Spaceshipboard Operations</t>
  </si>
  <si>
    <t>Speak Language</t>
  </si>
  <si>
    <t>Spell Design</t>
  </si>
  <si>
    <t>Spellcasting</t>
  </si>
  <si>
    <t>Sports</t>
  </si>
  <si>
    <t>Bo</t>
  </si>
  <si>
    <t>Bodkin</t>
  </si>
  <si>
    <t>Brass Knuckles</t>
  </si>
  <si>
    <t>Chain</t>
  </si>
  <si>
    <t>Throwing</t>
  </si>
  <si>
    <t>Tonfa</t>
  </si>
  <si>
    <t>Torture</t>
  </si>
  <si>
    <t>Steward</t>
  </si>
  <si>
    <t>Streetwise</t>
  </si>
  <si>
    <t>Transporter Operations</t>
  </si>
  <si>
    <t>Talismongering</t>
  </si>
  <si>
    <t>Tracking</t>
  </si>
  <si>
    <t>Trample</t>
  </si>
  <si>
    <t>Summoning</t>
  </si>
  <si>
    <t>Surveillance</t>
  </si>
  <si>
    <t>Theoretical Sciences</t>
  </si>
  <si>
    <t>Instruction</t>
  </si>
  <si>
    <t>Intelligence (Military)</t>
  </si>
  <si>
    <t>Interrogation</t>
  </si>
  <si>
    <t>Interview</t>
  </si>
  <si>
    <t>Intimidation</t>
  </si>
  <si>
    <t>Intrusion</t>
  </si>
  <si>
    <t>Inventing</t>
  </si>
  <si>
    <t>Investigation</t>
  </si>
  <si>
    <t>Katana (one hand)</t>
  </si>
  <si>
    <t>Driver, ATV</t>
  </si>
  <si>
    <t>Binoculars, Image Converter</t>
  </si>
  <si>
    <t>Smoke Flares (19)</t>
  </si>
  <si>
    <t>Pilot, Variable Wing</t>
  </si>
  <si>
    <t>Medical, Nutrition</t>
  </si>
  <si>
    <t>Knife, Switchblade</t>
  </si>
  <si>
    <t>Knife, Throwing</t>
  </si>
  <si>
    <t>Knife, Trench</t>
  </si>
  <si>
    <t>Lance</t>
  </si>
  <si>
    <t>Leer-Pa</t>
  </si>
  <si>
    <t>Longsword</t>
  </si>
  <si>
    <t>Mace</t>
  </si>
  <si>
    <t>Machete</t>
  </si>
  <si>
    <t>Main Gauche</t>
  </si>
  <si>
    <t>Morning Star</t>
  </si>
  <si>
    <t>Naginata</t>
  </si>
  <si>
    <t>Ninjato</t>
  </si>
  <si>
    <t>No-Dachi</t>
  </si>
  <si>
    <t>Pipe</t>
  </si>
  <si>
    <t>Light Crossbow</t>
  </si>
  <si>
    <t>Spaceship Fleet Tactics</t>
  </si>
  <si>
    <t>Spaceship Ship Tactics</t>
  </si>
  <si>
    <t>Paleontology</t>
  </si>
  <si>
    <t>Tech 17 Laser MMG 7mm</t>
  </si>
  <si>
    <t>20 Gauge Shotgun 6</t>
  </si>
  <si>
    <t>20 Gauge Shotgun 8</t>
  </si>
  <si>
    <t>20 Gauge Shotgun 9</t>
  </si>
  <si>
    <t>SMG Schmeiser</t>
  </si>
  <si>
    <t>SMG Uzi</t>
  </si>
  <si>
    <t>Pistol .22 Jet</t>
  </si>
  <si>
    <t>Gauss Pistol 1mm</t>
  </si>
  <si>
    <t>Gauss Pistol 2mm</t>
  </si>
  <si>
    <t>Wound Level at Damage</t>
  </si>
  <si>
    <t>NA</t>
  </si>
  <si>
    <t>&lt;50%</t>
  </si>
  <si>
    <t>Non-Lethal</t>
  </si>
  <si>
    <t>Total Hit Points</t>
  </si>
  <si>
    <t>Initiative</t>
  </si>
  <si>
    <t>D10+</t>
  </si>
  <si>
    <t>D10</t>
  </si>
  <si>
    <t>Social Defense</t>
  </si>
  <si>
    <t>Defensive Values</t>
  </si>
  <si>
    <t>Pistol .45 Long Colt</t>
  </si>
  <si>
    <t>Pistol .455 Webley</t>
  </si>
  <si>
    <t>Pistol 7.62 Czech</t>
  </si>
  <si>
    <t>Pistol 7mm Nambu</t>
  </si>
  <si>
    <t>Pistol 8mm Nambu</t>
  </si>
  <si>
    <t>Tech 18 Blaster HMG 5mm</t>
  </si>
  <si>
    <t>Rev 6</t>
  </si>
  <si>
    <t>*Tech Use, Ultra-modern</t>
  </si>
  <si>
    <t>*Zero G Combat</t>
  </si>
  <si>
    <t>Tech 16 Blaster Assault Rifle 5mm</t>
  </si>
  <si>
    <t>Tech 16 Blaster LMG 5mm</t>
  </si>
  <si>
    <t>Tech 16 Blaster MMG 5mm</t>
  </si>
  <si>
    <t>Rifle 280</t>
  </si>
  <si>
    <t>Rifle 284</t>
  </si>
  <si>
    <t>Decontamination</t>
  </si>
  <si>
    <t>Defusing Explosives</t>
  </si>
  <si>
    <t>Demolitions</t>
  </si>
  <si>
    <t>Detect Trap</t>
  </si>
  <si>
    <t>Detect Weapon</t>
  </si>
  <si>
    <t>Direct Fire Cannon</t>
  </si>
  <si>
    <t>Disguise</t>
  </si>
  <si>
    <t>Base Defense</t>
  </si>
  <si>
    <t>Psychic/Spell Defense</t>
  </si>
  <si>
    <t>Speed</t>
  </si>
  <si>
    <t>Walking</t>
  </si>
  <si>
    <t>Running</t>
  </si>
  <si>
    <t>Combat</t>
  </si>
  <si>
    <t>Tech 16 Laser Carbine 5mm</t>
  </si>
  <si>
    <t>Tech 16 Laser Rifle 5mm</t>
  </si>
  <si>
    <t>Psychic Energy</t>
  </si>
  <si>
    <t>Phys Defense W Parry</t>
  </si>
  <si>
    <t>Phys Defense W Block</t>
  </si>
  <si>
    <t>Production, Hydride Fuel</t>
  </si>
  <si>
    <t>Med Form-Fitting Body Armor</t>
  </si>
  <si>
    <t>6 Crystals from Cleash</t>
  </si>
  <si>
    <t>Combat Engineer Defusing Explosives</t>
  </si>
  <si>
    <t>Chain Mail (Bronze)</t>
  </si>
  <si>
    <t>Chain Mail (Iron)</t>
  </si>
  <si>
    <t>Chain Mail (Steel)</t>
  </si>
  <si>
    <t>Plate Mail (Bronze)</t>
  </si>
  <si>
    <t>Plate Mail (Iron)</t>
  </si>
  <si>
    <t>Plate Mail (Steel)</t>
  </si>
  <si>
    <t>Spear (two hands)</t>
  </si>
  <si>
    <t>Spear (one hand)</t>
  </si>
  <si>
    <t>Neuronic Whip</t>
  </si>
  <si>
    <t>Paralysis Rod</t>
  </si>
  <si>
    <t>Light Sword</t>
  </si>
  <si>
    <t>Armor Vest</t>
  </si>
  <si>
    <t>Advantages</t>
  </si>
  <si>
    <t>Disadvantages</t>
  </si>
  <si>
    <t>Cash:</t>
  </si>
  <si>
    <t>Income:</t>
  </si>
  <si>
    <t>Description</t>
  </si>
  <si>
    <t>MPR / KPH</t>
  </si>
  <si>
    <t>Vest With Plates</t>
  </si>
  <si>
    <t>Pilot, Fixed Wing</t>
  </si>
  <si>
    <t>Pilot, Vectored Thrust Aircraft</t>
  </si>
  <si>
    <t>Pistol, Automatic</t>
  </si>
  <si>
    <t>Pistol, Beam</t>
  </si>
  <si>
    <t>Pistol, Black Powder</t>
  </si>
  <si>
    <t>Pistol, Gauss</t>
  </si>
  <si>
    <t>Pistol, Revolver</t>
  </si>
  <si>
    <t>Planetology</t>
  </si>
  <si>
    <t>Firearm Attack</t>
  </si>
  <si>
    <t>Hit Points</t>
  </si>
  <si>
    <t>Rating</t>
  </si>
  <si>
    <t>Bounty Hunter</t>
  </si>
  <si>
    <t>Trap Setting/Removal</t>
  </si>
  <si>
    <t>Trick Riding</t>
  </si>
  <si>
    <t>Target Arrow</t>
  </si>
  <si>
    <t>Straight Razor</t>
  </si>
  <si>
    <t>Tanto</t>
  </si>
  <si>
    <t>Tetsubo</t>
  </si>
  <si>
    <t>Tomahawk</t>
  </si>
  <si>
    <t>Tulwar</t>
  </si>
  <si>
    <t>Two Hand Sword</t>
  </si>
  <si>
    <t>401-800</t>
  </si>
  <si>
    <t>Assault Cannon</t>
  </si>
  <si>
    <t>51-150</t>
  </si>
  <si>
    <t>151-450</t>
  </si>
  <si>
    <t>Marty</t>
  </si>
  <si>
    <t>Acute Hearing</t>
  </si>
  <si>
    <t>Acute Vision</t>
  </si>
  <si>
    <t>Alertness</t>
  </si>
  <si>
    <t>Attractiveness</t>
  </si>
  <si>
    <t>Disease Resistance</t>
  </si>
  <si>
    <t>*Alien Environment</t>
  </si>
  <si>
    <t>Spacedrive, Reaction Tech</t>
  </si>
  <si>
    <t>Pistol .45 ACP</t>
  </si>
  <si>
    <t>Depletion:</t>
  </si>
  <si>
    <t>Possessions</t>
  </si>
  <si>
    <t>SMG M3A1 Grease Gun</t>
  </si>
  <si>
    <t>Rifle .45 Martini</t>
  </si>
  <si>
    <t>Tech 16 Laser MMG 7mm</t>
  </si>
  <si>
    <t>Tech 16 Laser HMG 10mm</t>
  </si>
  <si>
    <t>Tech 17 Laser Pistol 3mm</t>
  </si>
  <si>
    <t>Tech 17 Laser Pistol 5mm</t>
  </si>
  <si>
    <t>Tech 17 Laser Carbine 5mm</t>
  </si>
  <si>
    <t>Tech 17 Laser Rifle 5mm</t>
  </si>
  <si>
    <t>Petal Throne</t>
  </si>
  <si>
    <t>Ahoggya</t>
  </si>
  <si>
    <t>Hlaka</t>
  </si>
  <si>
    <t>Pachi Lei</t>
  </si>
  <si>
    <t>Pe Choi</t>
  </si>
  <si>
    <t>Rifle .458 Winchester Magnum</t>
  </si>
  <si>
    <t>Rifle .460 Weatherby Magnum</t>
  </si>
  <si>
    <t>Rifle .50 Spotter-tracer</t>
  </si>
  <si>
    <t>Rifle .50-140 Sharps</t>
  </si>
  <si>
    <t>Rifle .56/50 Spencer</t>
  </si>
  <si>
    <t>Rifle .600 Nitro Express</t>
  </si>
  <si>
    <t>Rifle 222</t>
  </si>
  <si>
    <t>Gauss Pistol 6mm</t>
  </si>
  <si>
    <t>Gauss Rifle 1mm</t>
  </si>
  <si>
    <t>Pistol .25 ACP .25 Auto</t>
  </si>
  <si>
    <t>Pistol .256 Magnum</t>
  </si>
  <si>
    <t>Pistol .30 Borchardt</t>
  </si>
  <si>
    <t>Pistol .30 Mauser 7.63 Mauser</t>
  </si>
  <si>
    <t>Pistol .32 ACP .32 Auto</t>
  </si>
  <si>
    <t>Pistol .32 Long</t>
  </si>
  <si>
    <t>Pistol .32 Short</t>
  </si>
  <si>
    <t>Pistol .32-20</t>
  </si>
  <si>
    <t>Tech 14 Laser MMG 7mm</t>
  </si>
  <si>
    <t>*Tech Use, Ultramodern</t>
  </si>
  <si>
    <t>Driver, Automobile</t>
  </si>
  <si>
    <t>Improved Impact Armor</t>
  </si>
  <si>
    <t>Darrian Secret Service ID (forged)</t>
  </si>
  <si>
    <t>28 Gauge Shotgun 6</t>
  </si>
  <si>
    <t>28 Gauge Shotgun 7</t>
  </si>
  <si>
    <t>Additions</t>
  </si>
  <si>
    <t>Current</t>
  </si>
  <si>
    <t>Medium Military Armor</t>
  </si>
  <si>
    <t>Mechanic, Antigrav Vehicles</t>
  </si>
  <si>
    <t>Mechanic, General Equipment</t>
  </si>
  <si>
    <t>Assault Rifle</t>
  </si>
  <si>
    <t>HMG</t>
  </si>
  <si>
    <t>151-400</t>
  </si>
  <si>
    <t>Forensic Science</t>
  </si>
  <si>
    <t>Forgery</t>
  </si>
  <si>
    <t>451-1300</t>
  </si>
  <si>
    <t>Missile Launcher</t>
  </si>
  <si>
    <t>20-70</t>
  </si>
  <si>
    <t>71-150</t>
  </si>
  <si>
    <t>451-1500</t>
  </si>
  <si>
    <t>Bayonet, Short</t>
  </si>
  <si>
    <t>Bayonet, Long</t>
  </si>
  <si>
    <t>Bec De Corbin</t>
  </si>
  <si>
    <t>Belt Buckle</t>
  </si>
  <si>
    <t>Bill</t>
  </si>
  <si>
    <t>Magic Aptitude</t>
  </si>
  <si>
    <t>Music Ability</t>
  </si>
  <si>
    <t>Night Vision</t>
  </si>
  <si>
    <t>No Sleep</t>
  </si>
  <si>
    <t>Unaging</t>
  </si>
  <si>
    <t>Arrogant</t>
  </si>
  <si>
    <t>Over confident</t>
  </si>
  <si>
    <t>Harper</t>
  </si>
  <si>
    <t>&lt;50% is -2</t>
  </si>
  <si>
    <t>&gt;50% is -3</t>
  </si>
  <si>
    <t>Tertiary Stats:</t>
  </si>
  <si>
    <t>Education Level:</t>
  </si>
  <si>
    <t>Social Status:</t>
  </si>
  <si>
    <t>Enchanting Voice</t>
  </si>
  <si>
    <t>Cr35,960</t>
  </si>
  <si>
    <t>Cr102,000</t>
  </si>
  <si>
    <t>Parry</t>
  </si>
  <si>
    <t>Ring Mail (Steel)</t>
  </si>
  <si>
    <t>Wakizashi/Ko-Dachi</t>
  </si>
  <si>
    <t>Whip</t>
  </si>
  <si>
    <t>Bastard Sword (one hand)</t>
  </si>
  <si>
    <t>Bastard Sword (two hands)</t>
  </si>
  <si>
    <t>Katana (two hands)</t>
  </si>
  <si>
    <t>Bat with Nails</t>
  </si>
  <si>
    <t xml:space="preserve">Production, Petroleum </t>
  </si>
  <si>
    <t>Prospecting</t>
  </si>
  <si>
    <t>Psionics</t>
  </si>
  <si>
    <t>Psychology</t>
  </si>
  <si>
    <t>Quick Draw</t>
  </si>
  <si>
    <t>Rapport</t>
  </si>
  <si>
    <t>Naval, Power Boat</t>
  </si>
  <si>
    <t>Naval, Seamanship</t>
  </si>
  <si>
    <t>Naval, Ship Pilot</t>
  </si>
  <si>
    <t>Naval, Shipboard Operations</t>
  </si>
  <si>
    <t>Navigation</t>
  </si>
  <si>
    <t>Negotiation/Diplomacy</t>
  </si>
  <si>
    <t>Ninjutsu</t>
  </si>
  <si>
    <t>Nunchaku</t>
  </si>
  <si>
    <t>Occult Studies</t>
  </si>
  <si>
    <t>Tech 17 Laser LMG 5mm</t>
  </si>
  <si>
    <t>Tech 17 Laser Assault Rifle 5mm</t>
  </si>
  <si>
    <t>20 Gauge Shotgun 5</t>
  </si>
  <si>
    <t>28 Gauge Shotgun 9</t>
  </si>
  <si>
    <t>0.410 Gauge Shotgun 6</t>
  </si>
  <si>
    <t>0.410 Gauge Shotgun 7</t>
  </si>
  <si>
    <t>0.410 Gauge Shotgun 8</t>
  </si>
  <si>
    <t>0.410 Gauge Shotgun 9</t>
  </si>
  <si>
    <t>Tech 14 Laser Pistol 3mm</t>
  </si>
  <si>
    <t>Autoweapon/Assault Rifle</t>
  </si>
  <si>
    <t>Awareness</t>
  </si>
  <si>
    <t>Rifle .38-40</t>
  </si>
  <si>
    <t>Rifle .44 Magnum</t>
  </si>
  <si>
    <t>Rifle .444 Marlin</t>
  </si>
  <si>
    <t>Rifle .44-40</t>
  </si>
  <si>
    <t>Tech 16 Blaster Rifle 5mm</t>
  </si>
  <si>
    <t>Heavy Weapon, Type BS-41 MG</t>
  </si>
  <si>
    <t>Gauss Pistol 3mm</t>
  </si>
  <si>
    <t>Auto 12</t>
  </si>
  <si>
    <t>Auto 7</t>
  </si>
  <si>
    <t>Auto 16</t>
  </si>
  <si>
    <t>Break 2</t>
  </si>
  <si>
    <t>Full Auto 30</t>
  </si>
  <si>
    <t>Bolt 1</t>
  </si>
  <si>
    <t>Belt 100</t>
  </si>
  <si>
    <t>Rifle 30-06</t>
  </si>
  <si>
    <t>Rifle 35</t>
  </si>
  <si>
    <t>Battery 30</t>
  </si>
  <si>
    <t>Pistol .22 Long</t>
  </si>
  <si>
    <t>Pistol .22 Long Rifle</t>
  </si>
  <si>
    <t>Pistol .22 Magnum</t>
  </si>
  <si>
    <t>Pistol .22 RF Magnum</t>
  </si>
  <si>
    <t>Auto 8</t>
  </si>
  <si>
    <t>Tech 15 Laser Assault Rifle 5mm</t>
  </si>
  <si>
    <t>12 Gauge Shotgun 2</t>
  </si>
  <si>
    <t xml:space="preserve">12 Gauge Shotgun 4 Buck </t>
  </si>
  <si>
    <t>Firearm Damage</t>
  </si>
  <si>
    <t>Char Points Spent</t>
  </si>
  <si>
    <t>Current Char Points</t>
  </si>
  <si>
    <t>Character Name</t>
  </si>
  <si>
    <t>Player</t>
  </si>
  <si>
    <t>Species</t>
  </si>
  <si>
    <t>Archetype</t>
  </si>
  <si>
    <t>Rank</t>
  </si>
  <si>
    <t>Karma Earned</t>
  </si>
  <si>
    <t>Karma Spent</t>
  </si>
  <si>
    <t>Current Karma</t>
  </si>
  <si>
    <t>20 Gauge Shotgun 4</t>
  </si>
  <si>
    <t>Melee Attack</t>
  </si>
  <si>
    <t>Brawling/Martial Art Attack</t>
  </si>
  <si>
    <t>Driver, Antigrav Vehicle</t>
  </si>
  <si>
    <t>Production, Nuclear Fuel</t>
  </si>
  <si>
    <t>Partial Heavy Armor Suit</t>
  </si>
  <si>
    <t>Space Pilot, Ships Boat</t>
  </si>
  <si>
    <t>Spacecraft Architect</t>
  </si>
  <si>
    <t>Combat Reflexes</t>
  </si>
  <si>
    <t>Luck</t>
  </si>
  <si>
    <t>Rapid Healing</t>
  </si>
  <si>
    <t>Vibro-Knife</t>
  </si>
  <si>
    <t>D+</t>
  </si>
  <si>
    <t>Ranges (in meters)</t>
  </si>
  <si>
    <t>Short</t>
  </si>
  <si>
    <t>Effective</t>
  </si>
  <si>
    <t>Long</t>
  </si>
  <si>
    <t>Longbow</t>
  </si>
  <si>
    <t>Weapon</t>
  </si>
  <si>
    <t>Axe, Battle</t>
  </si>
  <si>
    <t xml:space="preserve">  /  </t>
  </si>
  <si>
    <t>kph</t>
  </si>
  <si>
    <t>Threat Rating</t>
  </si>
  <si>
    <t>Initiative Bonus</t>
  </si>
  <si>
    <t>Melee Damage Ratings</t>
  </si>
  <si>
    <t>Distance Attack</t>
  </si>
  <si>
    <t>Distance Damage</t>
  </si>
  <si>
    <t>Spell or Special Attacks</t>
  </si>
  <si>
    <t>Spell or Special Damage</t>
  </si>
  <si>
    <t>Physical Defense</t>
  </si>
  <si>
    <t>Spell Defense</t>
  </si>
  <si>
    <t>Armor Rating</t>
  </si>
  <si>
    <t>Pack 120</t>
  </si>
  <si>
    <t>Pack 240</t>
  </si>
  <si>
    <t>Pack 180</t>
  </si>
  <si>
    <t>Pack 150</t>
  </si>
  <si>
    <t>Battery 300</t>
  </si>
  <si>
    <t>Pack 200</t>
  </si>
  <si>
    <t>Shortsword</t>
  </si>
  <si>
    <t>Shotgun</t>
  </si>
  <si>
    <t>Silent Kill</t>
  </si>
  <si>
    <t>Spacedrive, Antigrav Tech</t>
  </si>
  <si>
    <t>Spacedrive, Impulse Tech</t>
  </si>
  <si>
    <t>101-250</t>
  </si>
  <si>
    <t>Spacedrive, Warp/Hyper Tech</t>
  </si>
  <si>
    <t>Farming, Dirt</t>
  </si>
  <si>
    <t>Sling</t>
  </si>
  <si>
    <t>Slingshot</t>
  </si>
  <si>
    <t>Slough Blame</t>
  </si>
  <si>
    <t>Farming, Hydroponics</t>
  </si>
  <si>
    <t>Fast Hand</t>
  </si>
  <si>
    <t>Fermentation</t>
  </si>
  <si>
    <t>Firearm Repair, Ultramodern</t>
  </si>
  <si>
    <t>First Impression</t>
  </si>
  <si>
    <t>Fishing</t>
  </si>
  <si>
    <t>Fit In</t>
  </si>
  <si>
    <t>Flexible Weapon</t>
  </si>
  <si>
    <t>Flirting</t>
  </si>
  <si>
    <t>*Airborne Assault</t>
  </si>
  <si>
    <t>Rifle 6mm</t>
  </si>
  <si>
    <t>Tech 16 Laser Assault Rifle 5mm</t>
  </si>
  <si>
    <t>Tech 16 Laser LMG 5mm</t>
  </si>
  <si>
    <t>History/Background</t>
  </si>
  <si>
    <t>Stamina</t>
  </si>
  <si>
    <t>Presence</t>
  </si>
  <si>
    <t>Bonus</t>
  </si>
  <si>
    <t>Base</t>
  </si>
  <si>
    <t>Conceal</t>
  </si>
  <si>
    <t>Ammo</t>
  </si>
  <si>
    <t>Med Range</t>
  </si>
  <si>
    <t>Med Rage</t>
  </si>
  <si>
    <t>Extreme</t>
  </si>
  <si>
    <t>Vulcan</t>
  </si>
  <si>
    <t>Romulan</t>
  </si>
  <si>
    <t>Andoran</t>
  </si>
  <si>
    <t>Gorn</t>
  </si>
  <si>
    <t>Caitian</t>
  </si>
  <si>
    <t>Pygmy Folk</t>
  </si>
  <si>
    <t>Shen</t>
  </si>
  <si>
    <t>Swamp  Folk</t>
  </si>
  <si>
    <t>Tinaliya</t>
  </si>
  <si>
    <t>Urenen</t>
  </si>
  <si>
    <t>Mihalli</t>
  </si>
  <si>
    <t>Nyagga</t>
  </si>
  <si>
    <t>Hluss</t>
  </si>
  <si>
    <t>Hlutgru</t>
  </si>
  <si>
    <t>Shunned One</t>
  </si>
  <si>
    <t>Tech 15 Laser Pistol 3mm</t>
  </si>
  <si>
    <t>Tech 15 Laser Pistol 5mm</t>
  </si>
  <si>
    <t>Tech 15 Laser Carbine 5mm</t>
  </si>
  <si>
    <t>Tech 15 Laser Rifle 5mm</t>
  </si>
  <si>
    <t>Black Ssu</t>
  </si>
  <si>
    <t>Jorune</t>
  </si>
  <si>
    <t>Acubon</t>
  </si>
  <si>
    <t>Blount</t>
  </si>
  <si>
    <t>Boccord</t>
  </si>
  <si>
    <t>Bronth</t>
  </si>
  <si>
    <t>Tech 15 Laser LMG 5mm</t>
  </si>
  <si>
    <t>Tech 15 Laser MMG 7mm</t>
  </si>
  <si>
    <t>Gauss Rifle 2mm</t>
  </si>
  <si>
    <t>Gauss Rifle 3mm</t>
  </si>
  <si>
    <t>Gauss Rifle 4mm</t>
  </si>
  <si>
    <t>Gauss Rifle 5mm</t>
  </si>
  <si>
    <t>Gauss Rifle 6mm</t>
  </si>
  <si>
    <t>Tech 14 Laser Pistol 5mm</t>
  </si>
  <si>
    <t>Heavy Weapon, .55 Boys AT/MG</t>
  </si>
  <si>
    <t>Tech 15 Laser HMG 10mm</t>
  </si>
  <si>
    <t>Hobby</t>
  </si>
  <si>
    <t>Academics</t>
  </si>
  <si>
    <t>Pistol .357 Magnum</t>
  </si>
  <si>
    <t>Pistol .38 Long</t>
  </si>
  <si>
    <t>Pistol .38 Short</t>
  </si>
  <si>
    <t>Pistol .38 Special</t>
  </si>
  <si>
    <t>Pistol .380 ACP 9mm short</t>
  </si>
  <si>
    <t>Pistol .41 Magnum</t>
  </si>
  <si>
    <t>Pistol .44 Automag</t>
  </si>
  <si>
    <t>Constitution</t>
  </si>
  <si>
    <t>Heavy Military Armor</t>
  </si>
  <si>
    <t>2D6</t>
  </si>
  <si>
    <t>16-40</t>
  </si>
  <si>
    <t>41-100</t>
  </si>
  <si>
    <t>Pitch Fork</t>
  </si>
  <si>
    <t>Poignard</t>
  </si>
  <si>
    <t>Quarterstaff</t>
  </si>
  <si>
    <t>Rapier</t>
  </si>
  <si>
    <t>Sabre</t>
  </si>
  <si>
    <t>Sap</t>
  </si>
  <si>
    <t>Scimitar</t>
  </si>
  <si>
    <t>Shuriken</t>
  </si>
  <si>
    <t>Sledge Hammer</t>
  </si>
  <si>
    <t>Spade</t>
  </si>
  <si>
    <t>Spear</t>
  </si>
  <si>
    <t>Endurance Skill</t>
  </si>
  <si>
    <t>Depletion Test Total</t>
  </si>
  <si>
    <t>Depletion Points:</t>
  </si>
  <si>
    <t>Fatigue Points:</t>
  </si>
  <si>
    <t>&lt;25% is -1</t>
  </si>
  <si>
    <t>151-200</t>
  </si>
  <si>
    <t>Medium Crossbow</t>
  </si>
  <si>
    <t>Heavy Crossbow</t>
  </si>
  <si>
    <t>6-30</t>
  </si>
  <si>
    <t>31-150</t>
  </si>
  <si>
    <t>151-300</t>
  </si>
  <si>
    <t>301-400</t>
  </si>
  <si>
    <t>11-80</t>
  </si>
  <si>
    <t>Two Weapons</t>
  </si>
  <si>
    <t>War Arrow</t>
  </si>
  <si>
    <t>Pick-Axe</t>
  </si>
  <si>
    <t>Pike</t>
  </si>
  <si>
    <t>Mobile Infantry/Powered Armor</t>
  </si>
  <si>
    <t>Mortars</t>
  </si>
  <si>
    <t>The standard arrow, reasonable armor penetration and damage</t>
  </si>
  <si>
    <t>Motorcycle Riding</t>
  </si>
  <si>
    <t>Muscle Powered Vehicle Repair</t>
  </si>
  <si>
    <t>Music</t>
  </si>
  <si>
    <t>Naval Fleet Tactics</t>
  </si>
  <si>
    <t>Naval Ship Tactics</t>
  </si>
  <si>
    <t>Naval, Boat, Rowed</t>
  </si>
  <si>
    <t>10 Gauge Shotgun 2 Buck</t>
  </si>
  <si>
    <t>10 Gauge Shotgun 3 Buck</t>
  </si>
  <si>
    <t>Muzzle Load Artillery</t>
  </si>
  <si>
    <t>Naval Architect</t>
  </si>
  <si>
    <t>Brawling</t>
  </si>
  <si>
    <t>Breech Load Artillery/Howitzers</t>
  </si>
  <si>
    <t>Naval, Submarine</t>
  </si>
  <si>
    <t>Carpentry</t>
  </si>
  <si>
    <t>Cartography</t>
  </si>
  <si>
    <t>Cast Net</t>
  </si>
  <si>
    <t>Centering</t>
  </si>
  <si>
    <t>12 Gauge Shotgun 2 Buck</t>
  </si>
  <si>
    <t>12 Gauge Shotgun 3 Buck</t>
  </si>
  <si>
    <t>Fusion Pistol</t>
  </si>
  <si>
    <t>Rifle .25-06</t>
  </si>
  <si>
    <t>Medical, First Aid</t>
  </si>
  <si>
    <t>Willpower</t>
  </si>
  <si>
    <t>Astrogation</t>
  </si>
  <si>
    <t>Astronomy</t>
  </si>
  <si>
    <t>Intuition/Psychic Talent</t>
  </si>
  <si>
    <t>Appearance</t>
  </si>
  <si>
    <t>Perception</t>
  </si>
  <si>
    <t>Initiative/Reaction</t>
  </si>
  <si>
    <t>Size Modifier</t>
  </si>
  <si>
    <t>Bargain/Haggle</t>
  </si>
  <si>
    <t>Battle-Axe</t>
  </si>
  <si>
    <t>Battledress</t>
  </si>
  <si>
    <t>Bayonet</t>
  </si>
  <si>
    <t>Beam Artillery</t>
  </si>
  <si>
    <t>Bicycle Riding</t>
  </si>
  <si>
    <t>Biology, Biochemistry</t>
  </si>
  <si>
    <t>Biology, Botany</t>
  </si>
  <si>
    <t>BP Rifle .45 Caliber</t>
  </si>
  <si>
    <t>Heavy Weapon, 14.5mm BS-41 AT</t>
  </si>
  <si>
    <t>Heavy Weapon, Type BZ MG</t>
  </si>
  <si>
    <t>Heavy Weapon, .50 Browning MG</t>
  </si>
  <si>
    <t>Biology, Ecology</t>
  </si>
  <si>
    <t>Biology, General</t>
  </si>
  <si>
    <t>Biology, Genetics</t>
  </si>
  <si>
    <t>Bolt 8</t>
  </si>
  <si>
    <t>Lever 8</t>
  </si>
  <si>
    <t>BP Rifle .50 caliber</t>
  </si>
  <si>
    <t>BP Pistol .50 caliber</t>
  </si>
  <si>
    <t>Full Auto 50</t>
  </si>
  <si>
    <t>Muzz 1</t>
  </si>
  <si>
    <t>Pump 8</t>
  </si>
  <si>
    <t>12 Gauge Assault Shotgun 00 Buck</t>
  </si>
  <si>
    <t>BP Pistol .75 caliber</t>
  </si>
  <si>
    <t>10 Gauge Shotgun 00 Buck</t>
  </si>
  <si>
    <t>12 Gauge Shotgun 4</t>
  </si>
  <si>
    <t>12 Gauge Shotgun 5</t>
  </si>
  <si>
    <t>6-40</t>
  </si>
  <si>
    <t>5-50</t>
  </si>
  <si>
    <t>Bonus/Penalty</t>
  </si>
  <si>
    <t>Skills</t>
  </si>
  <si>
    <t>Total</t>
  </si>
  <si>
    <t>Init Penalty</t>
  </si>
  <si>
    <t>Hands</t>
  </si>
  <si>
    <t>Feet</t>
  </si>
  <si>
    <t>Unarmed Combat</t>
  </si>
  <si>
    <t>Reach</t>
  </si>
  <si>
    <t>Tech 16 Blaster HMG 5mm</t>
  </si>
  <si>
    <t>Intelligence</t>
  </si>
  <si>
    <t>Gauss Pistol 4mm</t>
  </si>
  <si>
    <t>Gauss Pistol 5mm</t>
  </si>
  <si>
    <t>Psychic Endurance</t>
  </si>
  <si>
    <t>Heavy Form-Fitting Body Armor</t>
  </si>
  <si>
    <t>Cannot penetrate hardened armor (value greater than 4)</t>
  </si>
  <si>
    <t>Sling Bullet</t>
  </si>
  <si>
    <t>Sling Stone</t>
  </si>
  <si>
    <t>0-2</t>
  </si>
  <si>
    <t>3-5</t>
  </si>
  <si>
    <t>11-20</t>
  </si>
  <si>
    <t>21-30</t>
  </si>
  <si>
    <t>31-40</t>
  </si>
  <si>
    <t>11-30</t>
  </si>
  <si>
    <t>31-80</t>
  </si>
  <si>
    <t>81-150</t>
  </si>
  <si>
    <t>Light Pistol</t>
  </si>
  <si>
    <t>16-30</t>
  </si>
  <si>
    <t>Axe, Hatchet</t>
  </si>
  <si>
    <t>Axe, Hand</t>
  </si>
  <si>
    <t>Axe, Lumber</t>
  </si>
  <si>
    <t>Baseball Bat</t>
  </si>
  <si>
    <t>Riposte</t>
  </si>
  <si>
    <t>Robotics</t>
  </si>
  <si>
    <t>Safecracking</t>
  </si>
  <si>
    <t>Sai</t>
  </si>
  <si>
    <t>Screen Technology</t>
  </si>
  <si>
    <t>Intuition</t>
  </si>
  <si>
    <t>Recon/Scout</t>
  </si>
  <si>
    <t>+2</t>
  </si>
  <si>
    <t>31-50</t>
  </si>
  <si>
    <t>Seduction</t>
  </si>
  <si>
    <t>Sensors</t>
  </si>
  <si>
    <t>Shadowing</t>
  </si>
  <si>
    <t>EVA</t>
  </si>
  <si>
    <t>Evaluate/Appraise</t>
  </si>
  <si>
    <t>Explosives, Complex</t>
  </si>
  <si>
    <t>Shield Block</t>
  </si>
  <si>
    <t>Shield Charge</t>
  </si>
  <si>
    <t>Enigmas (Puzzle Solving)</t>
  </si>
  <si>
    <t>Escape Artistry</t>
  </si>
  <si>
    <t>Etiquette</t>
  </si>
  <si>
    <t>Trarch</t>
  </si>
  <si>
    <t>Woffen</t>
  </si>
  <si>
    <t>Explosives, Simple</t>
  </si>
  <si>
    <t>Farming, Advanced</t>
  </si>
  <si>
    <t>Droyne</t>
  </si>
  <si>
    <t>Virushi</t>
  </si>
  <si>
    <t>2300 AD</t>
  </si>
  <si>
    <t>Xiang</t>
  </si>
  <si>
    <t>Sung</t>
  </si>
  <si>
    <t>Kafer</t>
  </si>
  <si>
    <t>Klaxun</t>
  </si>
  <si>
    <t>Fast-talk</t>
  </si>
  <si>
    <t>Fence</t>
  </si>
  <si>
    <t>Finance</t>
  </si>
  <si>
    <t>Firearm Repair, Modern</t>
  </si>
  <si>
    <t>Firearm Repair, Primitive</t>
  </si>
  <si>
    <t>Stat:</t>
  </si>
  <si>
    <t xml:space="preserve"> min</t>
  </si>
  <si>
    <t xml:space="preserve"> hour</t>
  </si>
  <si>
    <t xml:space="preserve"> sec</t>
  </si>
  <si>
    <t>Skill</t>
  </si>
  <si>
    <t>Attribute</t>
  </si>
  <si>
    <t>Tech 17 Blaster MMG 5mm</t>
  </si>
  <si>
    <t>Tech 17 Blaster HMG 5mm</t>
  </si>
  <si>
    <t>Tech 18 Blaster Pistol 5mm</t>
  </si>
  <si>
    <t>Rifle 7.5mm MAS</t>
  </si>
  <si>
    <t>Rifle 6.5mm Magnum</t>
  </si>
  <si>
    <t>Force Blade</t>
  </si>
  <si>
    <t>Vibro-Blade</t>
  </si>
  <si>
    <t>Ion Pistol</t>
  </si>
  <si>
    <t>Ion Rifle</t>
  </si>
  <si>
    <t>1 Shot</t>
  </si>
  <si>
    <t>Driver, Automobile (Wheeled)</t>
  </si>
  <si>
    <t>Driver, Heavy Equipment (Specify Wheeled or ATV)</t>
  </si>
  <si>
    <t>Size</t>
  </si>
  <si>
    <t>Driver, Hovercraft</t>
  </si>
  <si>
    <t>ECM/EW Operations</t>
  </si>
  <si>
    <t>Dwarf</t>
  </si>
  <si>
    <t>Elf</t>
  </si>
  <si>
    <t>Halfling</t>
  </si>
  <si>
    <t>Human</t>
  </si>
  <si>
    <t>Ork</t>
  </si>
  <si>
    <t>Reptileman</t>
  </si>
  <si>
    <t>Rockman</t>
  </si>
  <si>
    <t>Sprite</t>
  </si>
  <si>
    <t>Troll</t>
  </si>
  <si>
    <t>Electrician, Spacecraft</t>
  </si>
  <si>
    <t>Electrician, Vehicle</t>
  </si>
  <si>
    <t>Electronics</t>
  </si>
  <si>
    <t>Empathy</t>
  </si>
  <si>
    <t>Enchanting</t>
  </si>
  <si>
    <t>Energy Cannon</t>
  </si>
  <si>
    <t>Engaging Banter</t>
  </si>
  <si>
    <t>Engineering, Armaments</t>
  </si>
  <si>
    <t>Tech 15 Blaster Rifle 5mm</t>
  </si>
  <si>
    <t>Tech 15 Blaster Assault Rifle 5mm</t>
  </si>
  <si>
    <t>Rifle, Bolt or Lever</t>
  </si>
  <si>
    <t>Engineering, General</t>
  </si>
  <si>
    <t>Engineering, Mechanical</t>
  </si>
  <si>
    <t>Cleash</t>
  </si>
  <si>
    <t>Corastin</t>
  </si>
  <si>
    <t>Croid</t>
  </si>
  <si>
    <t>Crugar</t>
  </si>
  <si>
    <t>Muadra</t>
  </si>
  <si>
    <t>Ramian</t>
  </si>
  <si>
    <t>Salu</t>
  </si>
  <si>
    <t>Scarmis</t>
  </si>
  <si>
    <t>Tech 15 Blaster LMG 5mm</t>
  </si>
  <si>
    <t>Tech 15 Blaster MMG 5mm</t>
  </si>
  <si>
    <t>Tech 15 Blaster HMG 5mm</t>
  </si>
  <si>
    <t>Tech 16 Blaster Pistol 5mm</t>
  </si>
  <si>
    <t>Tech 16 Laser Pistol 3mm</t>
  </si>
  <si>
    <t>Tech 16 Laser Pistol 5mm</t>
  </si>
  <si>
    <t>Galanglic</t>
  </si>
  <si>
    <t>Culture</t>
  </si>
  <si>
    <t>Imperial</t>
  </si>
  <si>
    <t>Literacy</t>
  </si>
  <si>
    <t>Rifle 375</t>
  </si>
  <si>
    <t>Rifle 4.85 British XP</t>
  </si>
  <si>
    <t>Rifle 5.45 Russian</t>
  </si>
  <si>
    <t>Eber</t>
  </si>
  <si>
    <t>Pistol .44 Magnum</t>
  </si>
  <si>
    <t>Artillery Tech, Missile</t>
  </si>
  <si>
    <t>Artillery Tech, Projectile</t>
  </si>
  <si>
    <t>2D6+</t>
  </si>
  <si>
    <t>Medical, Advanced</t>
  </si>
  <si>
    <t>Axe, Fire</t>
  </si>
  <si>
    <t>Athletics, Diving</t>
  </si>
  <si>
    <t>Athletics, Jumping</t>
  </si>
  <si>
    <t>Athletics, Might</t>
  </si>
  <si>
    <t>Medical, Pathology</t>
  </si>
  <si>
    <t>0-5</t>
  </si>
  <si>
    <t>6-20</t>
  </si>
  <si>
    <t>21-100</t>
  </si>
  <si>
    <t>101-200</t>
  </si>
  <si>
    <t>201-250</t>
  </si>
  <si>
    <t>Shortbow</t>
  </si>
  <si>
    <t>6-10</t>
  </si>
  <si>
    <t>11-50</t>
  </si>
  <si>
    <t>51-100</t>
  </si>
  <si>
    <t>101-150</t>
  </si>
  <si>
    <t>Composite Bow</t>
  </si>
  <si>
    <t>11-75</t>
  </si>
  <si>
    <t>76-150</t>
  </si>
  <si>
    <t>21-125</t>
  </si>
  <si>
    <t>126-250</t>
  </si>
  <si>
    <t>251-350</t>
  </si>
  <si>
    <t>81-120</t>
  </si>
  <si>
    <t>121-150</t>
  </si>
  <si>
    <t>Missile Modifiers</t>
  </si>
  <si>
    <t>Damage Adjust</t>
  </si>
  <si>
    <t>Notes</t>
  </si>
  <si>
    <t>Missile Artillery</t>
  </si>
  <si>
    <t>Missile Launcher (Hand-held)</t>
  </si>
  <si>
    <t>Missile Parry</t>
  </si>
  <si>
    <t>Blacksmithing</t>
  </si>
  <si>
    <t>Blaster Technology</t>
  </si>
  <si>
    <t>Blowgun</t>
  </si>
  <si>
    <t>Biology, Xenozoology</t>
  </si>
  <si>
    <t>Biology, Zoology</t>
  </si>
  <si>
    <t>Bio-technician</t>
  </si>
  <si>
    <t>Bowyer-Fletcher</t>
  </si>
  <si>
    <t>10 Gauge Shotgun 1 Buck</t>
  </si>
  <si>
    <t>Boomerang</t>
  </si>
  <si>
    <t>10 Gauge Shotgun 4 Buck</t>
  </si>
  <si>
    <t>10 Gauge Shotgun 2</t>
  </si>
  <si>
    <t>10 Gauge Shotgun 4</t>
  </si>
  <si>
    <t>Rifle .223 Remington</t>
  </si>
  <si>
    <t>Bribery</t>
  </si>
  <si>
    <t>Naval, Sailboat</t>
  </si>
  <si>
    <t>Bureaucracy</t>
  </si>
  <si>
    <t>Camoflauge</t>
  </si>
  <si>
    <t>Carousing</t>
  </si>
  <si>
    <t>12 Gauge Shotgun 0 Buck</t>
  </si>
  <si>
    <t>12 Gauge Shotgun 1 Buck</t>
  </si>
  <si>
    <t>Rifle .25-20</t>
  </si>
  <si>
    <t>Rifle .25-35</t>
  </si>
  <si>
    <t>Rifle .30 Carbine</t>
  </si>
  <si>
    <t>Battery 10</t>
  </si>
  <si>
    <t>Pistol .44-40</t>
  </si>
  <si>
    <t>Pistol .44 Special</t>
  </si>
  <si>
    <t>Toughness</t>
  </si>
  <si>
    <t>Artisan/Craft/Handicraft Skills</t>
  </si>
  <si>
    <t>Artist</t>
  </si>
  <si>
    <t>Mechanic, Ground Vehicles</t>
  </si>
  <si>
    <t>Mechanic, Naval Craft</t>
  </si>
  <si>
    <t>Mechanic, Spacecraft</t>
  </si>
  <si>
    <t>Medical, Genetic Therapy</t>
  </si>
  <si>
    <t>Astrophysics</t>
  </si>
  <si>
    <t>Athletics, Acrobat</t>
  </si>
  <si>
    <t>Athletics, Climbing</t>
  </si>
  <si>
    <t>Athletics, Running</t>
  </si>
  <si>
    <t>Athletics, Swimming</t>
  </si>
  <si>
    <t>Aura Reading</t>
  </si>
  <si>
    <t>Medical, Pharmacy</t>
  </si>
  <si>
    <t>Medical, Specialty</t>
  </si>
  <si>
    <t>Medical, Surgery</t>
  </si>
  <si>
    <t>Medical, Therapy</t>
  </si>
  <si>
    <t>Meditation</t>
  </si>
  <si>
    <t>Metal Casting</t>
  </si>
  <si>
    <t>Metal Machining</t>
  </si>
  <si>
    <t>BP Pistol .45 Caliber</t>
  </si>
  <si>
    <t>Military Science, Operations</t>
  </si>
  <si>
    <t>Military Science, Strategy</t>
  </si>
  <si>
    <t>Military Science, Tactics</t>
  </si>
  <si>
    <t>Mimic Voice</t>
  </si>
  <si>
    <t>Mimicry</t>
  </si>
  <si>
    <t>Mining</t>
  </si>
  <si>
    <t>Biology, Xenobotany</t>
  </si>
  <si>
    <t>Biology, Xenoecology</t>
  </si>
  <si>
    <t>BP Rifle .65 caliber</t>
  </si>
  <si>
    <t>BP Pistol .65 caliber</t>
  </si>
  <si>
    <t>BP Rifle .70 caliber</t>
  </si>
  <si>
    <t>BP Pistol .70 caliber</t>
  </si>
  <si>
    <t>BP Rifle .75 caliber</t>
  </si>
  <si>
    <t>Bola</t>
  </si>
  <si>
    <t>10 Gauge Shotgun 0 Buck</t>
  </si>
  <si>
    <t>Pistol 9mm Lugar 9mm Para</t>
  </si>
  <si>
    <t>Pistol 9mm Makarov</t>
  </si>
  <si>
    <t>Pistol Gyrojet</t>
  </si>
  <si>
    <t>Rifle .22 Jet</t>
  </si>
  <si>
    <t>Rifle .22-250</t>
  </si>
  <si>
    <t>Broadsword</t>
  </si>
  <si>
    <t>Broker</t>
  </si>
  <si>
    <t>12 Gauge Shotgun 00 Buck</t>
  </si>
  <si>
    <t>28 Gauge Shotgun 8</t>
  </si>
  <si>
    <t>Brawling/Martial Art Damage</t>
  </si>
  <si>
    <t>Intuition/Psy Talent</t>
  </si>
  <si>
    <t>Psy Endurance</t>
  </si>
  <si>
    <t>Charisma</t>
  </si>
  <si>
    <t>Reinforced Ballistic Leathers</t>
  </si>
  <si>
    <t>Electrician, Detection Systems</t>
  </si>
  <si>
    <t>Economics</t>
  </si>
  <si>
    <t>Electrician, Aircraft</t>
  </si>
  <si>
    <t>Star Trek</t>
  </si>
  <si>
    <t>Klingon</t>
  </si>
  <si>
    <t>Electrician, Naval Systems</t>
  </si>
  <si>
    <t>Electrician, General</t>
  </si>
  <si>
    <t>Recruiting</t>
  </si>
  <si>
    <t>Research</t>
  </si>
  <si>
    <t>Restoration</t>
  </si>
  <si>
    <t>Rhetoric/Oration</t>
  </si>
  <si>
    <t>Rifle, Automatic (semi -auto)</t>
  </si>
  <si>
    <t>Rifle, Beam</t>
  </si>
  <si>
    <t>Rifle, Gauss</t>
  </si>
  <si>
    <t>Engineering, Electronics</t>
  </si>
  <si>
    <t>Grey Ssu</t>
  </si>
  <si>
    <t>Rifle, Black Powder</t>
  </si>
  <si>
    <t>Screens, Force</t>
  </si>
  <si>
    <t>Scuba Diving</t>
  </si>
  <si>
    <t>Search</t>
  </si>
  <si>
    <t>Security Operations</t>
  </si>
  <si>
    <t>Security Systems</t>
  </si>
  <si>
    <t>Engineering, Power</t>
  </si>
  <si>
    <t>Engineering, Spacedrive</t>
  </si>
  <si>
    <t>Shantha</t>
  </si>
  <si>
    <t>Thivin</t>
  </si>
  <si>
    <t>Thriddle</t>
  </si>
  <si>
    <t>Tologra</t>
  </si>
  <si>
    <t>Tech 17 Blaster Pistol 5mm</t>
  </si>
  <si>
    <t>Tech 17 Blaster Carbine 5mm</t>
  </si>
  <si>
    <t>Aslan</t>
  </si>
  <si>
    <t>K'kree</t>
  </si>
  <si>
    <t>Ithklur</t>
  </si>
  <si>
    <t>Tech 16 Blaster Carbine 5mm</t>
  </si>
  <si>
    <t>Traveller</t>
  </si>
  <si>
    <t>Hiver</t>
  </si>
  <si>
    <t>Vargr</t>
  </si>
  <si>
    <t>Tech 17 Blaster Rifle 5mm</t>
  </si>
  <si>
    <t>Tech 17 Blaster Assault Rifle 5mm</t>
  </si>
  <si>
    <t>Rifle 358</t>
  </si>
  <si>
    <t>Fencing</t>
  </si>
  <si>
    <t>Pentapod</t>
  </si>
  <si>
    <t>Mileau</t>
  </si>
  <si>
    <t>Fantasy</t>
  </si>
  <si>
    <t>Tech 17 Blaster LMG 5mm</t>
  </si>
  <si>
    <t>Length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</si>
</sst>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2"/>
      <name val="Bookman"/>
      <family val="0"/>
    </font>
    <font>
      <b/>
      <sz val="12"/>
      <name val="Book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/>
    </xf>
    <xf numFmtId="0" fontId="1" fillId="0" borderId="8" xfId="0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0" fillId="0" borderId="1" xfId="0" applyNumberFormat="1" applyFont="1" applyFill="1" applyBorder="1" applyAlignment="1" quotePrefix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 quotePrefix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 quotePrefix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1" fontId="1" fillId="0" borderId="33" xfId="0" applyNumberFormat="1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8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8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0" fillId="0" borderId="41" xfId="0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1" fillId="0" borderId="4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2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41" xfId="0" applyNumberFormat="1" applyFont="1" applyFill="1" applyBorder="1" applyAlignment="1">
      <alignment/>
    </xf>
    <xf numFmtId="0" fontId="0" fillId="0" borderId="8" xfId="0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right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46" xfId="0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27" xfId="0" applyNumberFormat="1" applyBorder="1" applyAlignment="1">
      <alignment/>
    </xf>
    <xf numFmtId="1" fontId="0" fillId="2" borderId="27" xfId="0" applyNumberFormat="1" applyFill="1" applyBorder="1" applyAlignment="1">
      <alignment/>
    </xf>
    <xf numFmtId="1" fontId="0" fillId="2" borderId="47" xfId="0" applyNumberFormat="1" applyFill="1" applyBorder="1" applyAlignment="1">
      <alignment/>
    </xf>
    <xf numFmtId="1" fontId="0" fillId="0" borderId="48" xfId="0" applyNumberFormat="1" applyBorder="1" applyAlignment="1">
      <alignment/>
    </xf>
    <xf numFmtId="1" fontId="0" fillId="0" borderId="4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tabSelected="1" workbookViewId="0" topLeftCell="A1">
      <selection activeCell="L3" sqref="L3"/>
    </sheetView>
  </sheetViews>
  <sheetFormatPr defaultColWidth="11.00390625" defaultRowHeight="12"/>
  <cols>
    <col min="1" max="1" width="19.00390625" style="0" customWidth="1"/>
    <col min="7" max="7" width="1.875" style="0" customWidth="1"/>
    <col min="15" max="15" width="2.875" style="0" customWidth="1"/>
    <col min="16" max="16" width="8.875" style="0" customWidth="1"/>
    <col min="17" max="17" width="2.875" style="0" customWidth="1"/>
  </cols>
  <sheetData>
    <row r="1" spans="1:38" ht="12.75">
      <c r="A1" s="24" t="s">
        <v>726</v>
      </c>
      <c r="B1" s="47" t="s">
        <v>579</v>
      </c>
      <c r="C1" s="47"/>
      <c r="D1" s="67" t="s">
        <v>727</v>
      </c>
      <c r="E1" s="101" t="s">
        <v>1033</v>
      </c>
      <c r="F1" s="47"/>
      <c r="G1" s="48" t="s">
        <v>494</v>
      </c>
      <c r="H1" s="98" t="str">
        <f>IF(F21="","",IF(R2=0,S1,IF(R2&gt;0,(R1&amp;S2),IF(R2&lt;0,(S1&amp;S2)))))</f>
        <v>D10+7</v>
      </c>
      <c r="I1" s="47"/>
      <c r="J1" s="48" t="s">
        <v>400</v>
      </c>
      <c r="K1" s="98">
        <v>296</v>
      </c>
      <c r="L1" s="47"/>
      <c r="M1" s="48" t="s">
        <v>730</v>
      </c>
      <c r="N1" s="98">
        <v>4</v>
      </c>
      <c r="R1" s="139" t="s">
        <v>495</v>
      </c>
      <c r="S1" s="140" t="s">
        <v>496</v>
      </c>
      <c r="T1" s="6" t="s">
        <v>494</v>
      </c>
      <c r="U1" s="5"/>
      <c r="V1" s="6"/>
      <c r="W1" s="7"/>
      <c r="X1" s="7"/>
      <c r="Y1" s="7"/>
      <c r="AK1" s="238" t="s">
        <v>729</v>
      </c>
      <c r="AL1" s="239">
        <f>E2*10</f>
        <v>20</v>
      </c>
    </row>
    <row r="2" spans="1:38" ht="12.75">
      <c r="A2" s="68" t="s">
        <v>725</v>
      </c>
      <c r="B2" s="2" t="s">
        <v>654</v>
      </c>
      <c r="C2" s="2"/>
      <c r="D2" s="16" t="s">
        <v>729</v>
      </c>
      <c r="E2" s="9">
        <v>2</v>
      </c>
      <c r="F2" s="2"/>
      <c r="G2" s="69" t="s">
        <v>914</v>
      </c>
      <c r="H2" s="99">
        <f>IF(E1&gt;0,LOOKUP(E1,Species!A2:A64,Species!N2:N64),"")</f>
        <v>0</v>
      </c>
      <c r="I2" s="2"/>
      <c r="J2" s="69" t="s">
        <v>723</v>
      </c>
      <c r="K2" s="99">
        <v>237</v>
      </c>
      <c r="L2" s="2"/>
      <c r="M2" s="69" t="s">
        <v>731</v>
      </c>
      <c r="N2" s="99">
        <v>1</v>
      </c>
      <c r="R2" s="141">
        <f>F21-F24+1+E2</f>
        <v>7</v>
      </c>
      <c r="S2" s="142" t="str">
        <f>TEXT(R2,0)</f>
        <v>7</v>
      </c>
      <c r="AK2" s="238" t="s">
        <v>756</v>
      </c>
      <c r="AL2" s="240">
        <f>F21</f>
        <v>4</v>
      </c>
    </row>
    <row r="3" spans="1:38" ht="13.5" thickBot="1">
      <c r="A3" s="68" t="s">
        <v>728</v>
      </c>
      <c r="B3" s="2" t="s">
        <v>565</v>
      </c>
      <c r="C3" s="2"/>
      <c r="D3" s="16" t="s">
        <v>407</v>
      </c>
      <c r="E3" s="9">
        <v>0</v>
      </c>
      <c r="F3" s="2"/>
      <c r="G3" s="69" t="s">
        <v>520</v>
      </c>
      <c r="H3" s="102">
        <f>IF(F21="","",11+F21)</f>
        <v>15</v>
      </c>
      <c r="I3" s="2"/>
      <c r="J3" s="69" t="s">
        <v>724</v>
      </c>
      <c r="K3" s="236">
        <f>K1-K2</f>
        <v>59</v>
      </c>
      <c r="L3" s="2"/>
      <c r="M3" s="69" t="s">
        <v>732</v>
      </c>
      <c r="N3" s="258">
        <f>N1-N2</f>
        <v>3</v>
      </c>
      <c r="R3" t="s">
        <v>1014</v>
      </c>
      <c r="AK3" s="238" t="s">
        <v>734</v>
      </c>
      <c r="AL3" s="240">
        <f>K36+M36</f>
        <v>16</v>
      </c>
    </row>
    <row r="4" spans="1:38" ht="13.5" thickBot="1">
      <c r="A4" s="27"/>
      <c r="B4" s="2"/>
      <c r="C4" s="2"/>
      <c r="D4" s="237" t="s">
        <v>755</v>
      </c>
      <c r="E4" s="65">
        <f>AL19</f>
        <v>5.54</v>
      </c>
      <c r="F4" s="2"/>
      <c r="G4" s="2"/>
      <c r="H4" s="2"/>
      <c r="I4" s="2"/>
      <c r="J4" s="2"/>
      <c r="K4" s="16"/>
      <c r="L4" s="2"/>
      <c r="M4" s="2"/>
      <c r="N4" s="70"/>
      <c r="R4" t="s">
        <v>1012</v>
      </c>
      <c r="AK4" s="238" t="s">
        <v>757</v>
      </c>
      <c r="AL4" s="240">
        <f>D32*4+E32</f>
        <v>31</v>
      </c>
    </row>
    <row r="5" spans="1:38" ht="13.5" thickBot="1">
      <c r="A5" s="68" t="s">
        <v>296</v>
      </c>
      <c r="B5" s="9" t="s">
        <v>412</v>
      </c>
      <c r="C5" s="9" t="s">
        <v>417</v>
      </c>
      <c r="D5" s="9" t="s">
        <v>627</v>
      </c>
      <c r="E5" s="9" t="s">
        <v>628</v>
      </c>
      <c r="F5" s="9" t="s">
        <v>944</v>
      </c>
      <c r="G5" s="9"/>
      <c r="H5" s="24" t="s">
        <v>522</v>
      </c>
      <c r="I5" s="25" t="s">
        <v>552</v>
      </c>
      <c r="J5" s="32" t="s">
        <v>409</v>
      </c>
      <c r="K5" s="24" t="s">
        <v>498</v>
      </c>
      <c r="L5" s="67"/>
      <c r="M5" s="67"/>
      <c r="N5" s="26" t="s">
        <v>729</v>
      </c>
      <c r="R5" t="s">
        <v>1013</v>
      </c>
      <c r="AK5" s="238" t="s">
        <v>735</v>
      </c>
      <c r="AL5" s="240">
        <f>K27+M27</f>
        <v>15</v>
      </c>
    </row>
    <row r="6" spans="1:38" ht="12.75">
      <c r="A6" s="112" t="s">
        <v>408</v>
      </c>
      <c r="B6" s="49">
        <v>16</v>
      </c>
      <c r="C6" s="50">
        <f>IF(E1&gt;0,LOOKUP(E1,Species!A2:A64,Species!B2:B64),"")</f>
        <v>0</v>
      </c>
      <c r="D6" s="50"/>
      <c r="E6" s="50">
        <f aca="true" t="shared" si="0" ref="E6:E11">IF(B6&gt;0,SUM(B6:D6),"")</f>
        <v>16</v>
      </c>
      <c r="F6" s="72">
        <f>IF(B6&gt;0,LOOKUP(E6,'Stat Bonuses'!A2:A49,'Stat Bonuses'!B2:B49),"")</f>
        <v>3</v>
      </c>
      <c r="G6" s="14"/>
      <c r="H6" s="27" t="s">
        <v>525</v>
      </c>
      <c r="I6" s="9" t="str">
        <f>IF($F$9="","",U6&amp;V6&amp;W6)</f>
        <v>8  /  4.8</v>
      </c>
      <c r="J6" s="28" t="str">
        <f>IF(I6="","",S6&amp;R4)</f>
        <v>22 min</v>
      </c>
      <c r="K6" s="100" t="s">
        <v>310</v>
      </c>
      <c r="L6" s="2"/>
      <c r="M6" s="103">
        <f>IF(H3="","",H3+N6)+1</f>
        <v>25</v>
      </c>
      <c r="N6" s="28">
        <f>K27</f>
        <v>9</v>
      </c>
      <c r="R6" s="219">
        <f>E7*2</f>
        <v>22</v>
      </c>
      <c r="S6" s="219">
        <f aca="true" t="shared" si="1" ref="S6:S11">ROUND(R6,2)</f>
        <v>22</v>
      </c>
      <c r="U6">
        <f>IF(F9="","",(10+F9-H2)/2)</f>
        <v>8</v>
      </c>
      <c r="V6" t="s">
        <v>753</v>
      </c>
      <c r="W6">
        <f aca="true" t="shared" si="2" ref="W6:W11">U6*0.6</f>
        <v>4.8</v>
      </c>
      <c r="X6" t="s">
        <v>754</v>
      </c>
      <c r="AK6" s="238" t="s">
        <v>1181</v>
      </c>
      <c r="AL6" s="240">
        <f>D28*4+E28</f>
        <v>7</v>
      </c>
    </row>
    <row r="7" spans="1:38" ht="12.75">
      <c r="A7" s="112" t="s">
        <v>796</v>
      </c>
      <c r="B7" s="73">
        <v>11</v>
      </c>
      <c r="C7" s="74">
        <f>IF(E1&gt;0,LOOKUP(E1,Species!A2:A64,Species!C2:C64),"")</f>
        <v>0</v>
      </c>
      <c r="D7" s="74"/>
      <c r="E7" s="74">
        <f t="shared" si="0"/>
        <v>11</v>
      </c>
      <c r="F7" s="75">
        <f>IF(B7&gt;0,LOOKUP(E7,'Stat Bonuses'!A2:A49,'Stat Bonuses'!B2:B49),"")</f>
        <v>0</v>
      </c>
      <c r="G7" s="14"/>
      <c r="H7" s="27" t="s">
        <v>523</v>
      </c>
      <c r="I7" s="9" t="str">
        <f>IF($F$9="","",U7&amp;V7&amp;W7)</f>
        <v>16  /  9.6</v>
      </c>
      <c r="J7" s="28" t="str">
        <f>IF(F9="","",S7&amp;R5)</f>
        <v>11 hour</v>
      </c>
      <c r="K7" s="100" t="s">
        <v>311</v>
      </c>
      <c r="L7" s="2"/>
      <c r="M7" s="103" t="str">
        <f>IF(N7=0,"NA",H3+N7+1)</f>
        <v>NA</v>
      </c>
      <c r="N7" s="28"/>
      <c r="R7" s="219">
        <f>E7</f>
        <v>11</v>
      </c>
      <c r="S7" s="219">
        <f t="shared" si="1"/>
        <v>11</v>
      </c>
      <c r="U7">
        <f>IF(F9="","",10+F9-H2)</f>
        <v>16</v>
      </c>
      <c r="V7" t="s">
        <v>753</v>
      </c>
      <c r="W7">
        <f t="shared" si="2"/>
        <v>9.6</v>
      </c>
      <c r="X7" t="s">
        <v>754</v>
      </c>
      <c r="AK7" s="238" t="s">
        <v>758</v>
      </c>
      <c r="AL7" s="240"/>
    </row>
    <row r="8" spans="1:38" ht="12.75">
      <c r="A8" s="112" t="s">
        <v>410</v>
      </c>
      <c r="B8" s="73">
        <v>16</v>
      </c>
      <c r="C8" s="74">
        <f>IF(E1&gt;0,LOOKUP(E1,Species!A2:A64,Species!D2:D64),"")</f>
        <v>4</v>
      </c>
      <c r="D8" s="74"/>
      <c r="E8" s="74">
        <f t="shared" si="0"/>
        <v>20</v>
      </c>
      <c r="F8" s="75">
        <f>IF(B8&gt;0,LOOKUP(E8,'Stat Bonuses'!A2:A49,'Stat Bonuses'!B2:B49),"")</f>
        <v>5</v>
      </c>
      <c r="G8" s="14"/>
      <c r="H8" s="27" t="s">
        <v>312</v>
      </c>
      <c r="I8" s="9" t="str">
        <f>IF($F$9="","",U8&amp;V8&amp;W8)</f>
        <v>24  /  14.4</v>
      </c>
      <c r="J8" s="218" t="str">
        <f>IF(F9="","",S8&amp;R5)</f>
        <v>7.33 hour</v>
      </c>
      <c r="K8" s="100" t="s">
        <v>529</v>
      </c>
      <c r="L8" s="2"/>
      <c r="M8" s="103">
        <f>IF(N8=0,"NA",H3+N8+1)</f>
        <v>26</v>
      </c>
      <c r="N8" s="28">
        <f>K36+1</f>
        <v>10</v>
      </c>
      <c r="R8" s="219">
        <f>E7/1.5</f>
        <v>7.333333333333333</v>
      </c>
      <c r="S8" s="219">
        <f t="shared" si="1"/>
        <v>7.33</v>
      </c>
      <c r="U8">
        <f>IF(F9="","",(10+F9-H2)*1.5)</f>
        <v>24</v>
      </c>
      <c r="V8" t="s">
        <v>753</v>
      </c>
      <c r="W8">
        <f t="shared" si="2"/>
        <v>14.399999999999999</v>
      </c>
      <c r="X8" t="s">
        <v>754</v>
      </c>
      <c r="AK8" s="238" t="s">
        <v>759</v>
      </c>
      <c r="AL8" s="240">
        <f>AA40</f>
      </c>
    </row>
    <row r="9" spans="1:38" ht="12.75">
      <c r="A9" s="112" t="s">
        <v>411</v>
      </c>
      <c r="B9" s="73">
        <v>18</v>
      </c>
      <c r="C9" s="74">
        <f>IF(E1&gt;0,LOOKUP(E1,Species!A2:A64,Species!E2:E64),"")</f>
        <v>4</v>
      </c>
      <c r="D9" s="74"/>
      <c r="E9" s="74">
        <f t="shared" si="0"/>
        <v>22</v>
      </c>
      <c r="F9" s="75">
        <f>IF(B9&gt;0,LOOKUP(E9,'Stat Bonuses'!A2:A49,'Stat Bonuses'!B2:B49),"")</f>
        <v>6</v>
      </c>
      <c r="G9" s="14"/>
      <c r="H9" s="27" t="s">
        <v>524</v>
      </c>
      <c r="I9" s="9" t="str">
        <f>IF($F$9="","",U9&amp;V9&amp;W9)</f>
        <v>48  /  28.8</v>
      </c>
      <c r="J9" s="28" t="str">
        <f>IF(F9="","",S9&amp;R4)</f>
        <v>5.5 min</v>
      </c>
      <c r="K9" s="100" t="s">
        <v>530</v>
      </c>
      <c r="L9" s="2"/>
      <c r="M9" s="103">
        <f>IF(N9=0,"NA",H3+N9+1)</f>
        <v>25</v>
      </c>
      <c r="N9" s="28">
        <f>K27</f>
        <v>9</v>
      </c>
      <c r="R9" s="219">
        <f>E7/2</f>
        <v>5.5</v>
      </c>
      <c r="S9" s="219">
        <f t="shared" si="1"/>
        <v>5.5</v>
      </c>
      <c r="U9">
        <f>IF(F9="","",(10+F9-H2)*3)</f>
        <v>48</v>
      </c>
      <c r="V9" t="s">
        <v>753</v>
      </c>
      <c r="W9">
        <f t="shared" si="2"/>
        <v>28.799999999999997</v>
      </c>
      <c r="X9" t="s">
        <v>754</v>
      </c>
      <c r="AK9" s="238" t="s">
        <v>760</v>
      </c>
      <c r="AL9" s="240"/>
    </row>
    <row r="10" spans="1:38" ht="12.75">
      <c r="A10" s="112" t="s">
        <v>849</v>
      </c>
      <c r="B10" s="73">
        <v>11</v>
      </c>
      <c r="C10" s="74">
        <f>IF(E1&gt;0,LOOKUP(E1,Species!A2:A64,Species!F2:F64),"")</f>
        <v>0</v>
      </c>
      <c r="D10" s="74"/>
      <c r="E10" s="74">
        <f t="shared" si="0"/>
        <v>11</v>
      </c>
      <c r="F10" s="75">
        <f>IF(B10&gt;0,LOOKUP(E10,'Stat Bonuses'!A2:A49,'Stat Bonuses'!B2:B49),"")</f>
        <v>0</v>
      </c>
      <c r="G10" s="14"/>
      <c r="H10" s="27" t="s">
        <v>313</v>
      </c>
      <c r="I10" s="9" t="str">
        <f>IF($F$9="","",U10&amp;V10&amp;W10)</f>
        <v>80  /  48</v>
      </c>
      <c r="J10" s="28" t="str">
        <f>IF(F9="","",S10&amp;R3)</f>
        <v>44 sec</v>
      </c>
      <c r="K10" s="27" t="s">
        <v>521</v>
      </c>
      <c r="L10" s="2"/>
      <c r="M10" s="103">
        <f>IF(F15="","",11+F15+F13+F14+F17+N10+E2)</f>
        <v>20</v>
      </c>
      <c r="N10" s="28"/>
      <c r="R10" s="219">
        <f>E7*4</f>
        <v>44</v>
      </c>
      <c r="S10" s="219">
        <f t="shared" si="1"/>
        <v>44</v>
      </c>
      <c r="U10">
        <f>IF(F9="","",(10+F9-H2)*5)</f>
        <v>80</v>
      </c>
      <c r="V10" t="s">
        <v>753</v>
      </c>
      <c r="W10">
        <f t="shared" si="2"/>
        <v>48</v>
      </c>
      <c r="X10" t="s">
        <v>754</v>
      </c>
      <c r="AK10" s="238" t="s">
        <v>761</v>
      </c>
      <c r="AL10" s="240"/>
    </row>
    <row r="11" spans="1:38" ht="13.5" thickBot="1">
      <c r="A11" s="112" t="s">
        <v>1136</v>
      </c>
      <c r="B11" s="51">
        <v>18</v>
      </c>
      <c r="C11" s="52">
        <f>IF(E1&gt;0,LOOKUP(E1,Species!A2:A64,Species!G2:G64),"")</f>
        <v>-2</v>
      </c>
      <c r="D11" s="52"/>
      <c r="E11" s="52">
        <f t="shared" si="0"/>
        <v>16</v>
      </c>
      <c r="F11" s="76">
        <f>IF(B11&gt;0,LOOKUP(E11,'Stat Bonuses'!A2:A49,'Stat Bonuses'!B2:B49),"")</f>
        <v>3</v>
      </c>
      <c r="G11" s="14"/>
      <c r="H11" s="29" t="s">
        <v>314</v>
      </c>
      <c r="I11" s="30">
        <f>IF(T11="Yes",(U11&amp;V11&amp;W11),"")</f>
      </c>
      <c r="J11" s="31">
        <f>IF(I11="","",(S11&amp;R5))</f>
      </c>
      <c r="K11" s="29" t="s">
        <v>497</v>
      </c>
      <c r="L11" s="33"/>
      <c r="M11" s="111">
        <f>IF(F14="","",(11+F14+E2))</f>
        <v>16</v>
      </c>
      <c r="N11" s="31"/>
      <c r="R11" s="219">
        <f>E7</f>
        <v>11</v>
      </c>
      <c r="S11" s="219">
        <f t="shared" si="1"/>
        <v>11</v>
      </c>
      <c r="T11">
        <f>IF(E1&gt;0,LOOKUP(E1,Species!A2:A63,Species!P2:P63),"")</f>
        <v>0</v>
      </c>
      <c r="U11">
        <f>IF(T11="Yes",(20+F9-H2),"")</f>
      </c>
      <c r="V11" t="s">
        <v>753</v>
      </c>
      <c r="W11" t="e">
        <f t="shared" si="2"/>
        <v>#VALUE!</v>
      </c>
      <c r="X11" t="s">
        <v>754</v>
      </c>
      <c r="AK11" s="238" t="s">
        <v>762</v>
      </c>
      <c r="AL11" s="240">
        <f>M6</f>
        <v>25</v>
      </c>
    </row>
    <row r="12" spans="1:38" ht="13.5" thickBot="1">
      <c r="A12" s="71" t="s">
        <v>297</v>
      </c>
      <c r="B12" s="17"/>
      <c r="C12" s="17"/>
      <c r="D12" s="17"/>
      <c r="E12" s="17"/>
      <c r="F12" s="17"/>
      <c r="G12" s="14"/>
      <c r="H12" s="2"/>
      <c r="I12" s="2"/>
      <c r="J12" s="2"/>
      <c r="K12" s="2"/>
      <c r="L12" s="2"/>
      <c r="M12" s="2"/>
      <c r="N12" s="70"/>
      <c r="AK12" s="238" t="s">
        <v>763</v>
      </c>
      <c r="AL12" s="240">
        <f>M10</f>
        <v>20</v>
      </c>
    </row>
    <row r="13" spans="1:38" ht="12.75">
      <c r="A13" s="112" t="s">
        <v>953</v>
      </c>
      <c r="B13" s="49">
        <v>16</v>
      </c>
      <c r="C13" s="50">
        <f>IF(E1&gt;0,LOOKUP(E1,Species!A2:A64,Species!H2:H64),"")</f>
        <v>1</v>
      </c>
      <c r="D13" s="50"/>
      <c r="E13" s="50">
        <f aca="true" t="shared" si="3" ref="E13:E18">IF(B13&gt;0,SUM(B13:D13),"")</f>
        <v>17</v>
      </c>
      <c r="F13" s="72">
        <f>IF(B13&gt;0,LOOKUP(E13,'Stat Bonuses'!A2:A49,'Stat Bonuses'!B2:B49),"")</f>
        <v>3</v>
      </c>
      <c r="G13" s="14"/>
      <c r="H13" s="96" t="s">
        <v>80</v>
      </c>
      <c r="I13" s="97"/>
      <c r="J13" s="109"/>
      <c r="K13" s="106" t="s">
        <v>493</v>
      </c>
      <c r="L13" s="97"/>
      <c r="M13" s="106">
        <f>IF(B11=0,"",((E11+(E7+E14)/2+(H2*2))*2)+(E2*7))</f>
        <v>74</v>
      </c>
      <c r="N13" s="107"/>
      <c r="AK13" s="238" t="s">
        <v>497</v>
      </c>
      <c r="AL13" s="240">
        <f>M11</f>
        <v>16</v>
      </c>
    </row>
    <row r="14" spans="1:38" ht="12.75">
      <c r="A14" s="112" t="s">
        <v>907</v>
      </c>
      <c r="B14" s="73">
        <v>16</v>
      </c>
      <c r="C14" s="74">
        <f>IF(E1&gt;0,LOOKUP(E1,Species!A2:A64,Species!I2:I64),"")</f>
        <v>1</v>
      </c>
      <c r="D14" s="74"/>
      <c r="E14" s="74">
        <f t="shared" si="3"/>
        <v>17</v>
      </c>
      <c r="F14" s="75">
        <f>IF(B14&gt;0,LOOKUP(E14,'Stat Bonuses'!A2:A49,'Stat Bonuses'!B2:B49),"")</f>
        <v>3</v>
      </c>
      <c r="G14" s="14"/>
      <c r="H14" s="95" t="s">
        <v>280</v>
      </c>
      <c r="I14" s="94"/>
      <c r="J14" s="21" t="s">
        <v>492</v>
      </c>
      <c r="K14" s="104"/>
      <c r="L14" s="8" t="s">
        <v>489</v>
      </c>
      <c r="M14" s="94"/>
      <c r="N14" s="105" t="s">
        <v>130</v>
      </c>
      <c r="AK14" s="238" t="s">
        <v>764</v>
      </c>
      <c r="AL14" s="240">
        <f>(C24+D24+E24)/3</f>
        <v>11</v>
      </c>
    </row>
    <row r="15" spans="1:38" ht="12.75">
      <c r="A15" s="112" t="s">
        <v>910</v>
      </c>
      <c r="B15" s="73">
        <v>10</v>
      </c>
      <c r="C15" s="74">
        <f>IF(E1&gt;0,LOOKUP(E1,Species!A2:A64,Species!J2:J64),"")</f>
        <v>2</v>
      </c>
      <c r="D15" s="74"/>
      <c r="E15" s="74">
        <f t="shared" si="3"/>
        <v>12</v>
      </c>
      <c r="F15" s="75">
        <f>IF(B15&gt;0,LOOKUP(E15,'Stat Bonuses'!A2:A49,'Stat Bonuses'!B2:B49),"")</f>
        <v>1</v>
      </c>
      <c r="G15" s="14"/>
      <c r="H15" s="43"/>
      <c r="I15" s="3"/>
      <c r="J15" s="21" t="s">
        <v>124</v>
      </c>
      <c r="K15" s="22" t="s">
        <v>131</v>
      </c>
      <c r="L15" s="9"/>
      <c r="M15" s="20" t="s">
        <v>491</v>
      </c>
      <c r="N15" s="28">
        <v>0</v>
      </c>
      <c r="S15" s="6"/>
      <c r="AK15" s="238" t="s">
        <v>562</v>
      </c>
      <c r="AL15" s="241">
        <f>K26+M26</f>
        <v>14</v>
      </c>
    </row>
    <row r="16" spans="1:38" ht="12.75">
      <c r="A16" s="112" t="s">
        <v>956</v>
      </c>
      <c r="B16" s="73">
        <v>10</v>
      </c>
      <c r="C16" s="74">
        <f>IF(E1&gt;0,LOOKUP(E1,Species!A2:A64,Species!K2:K64),"")</f>
        <v>2</v>
      </c>
      <c r="D16" s="74"/>
      <c r="E16" s="74">
        <f t="shared" si="3"/>
        <v>12</v>
      </c>
      <c r="F16" s="75">
        <f>IF(B16&gt;0,LOOKUP(E16,'Stat Bonuses'!A2:A49,'Stat Bonuses'!B2:B49),"")</f>
        <v>1</v>
      </c>
      <c r="G16" s="14"/>
      <c r="H16" s="43"/>
      <c r="I16" s="3"/>
      <c r="J16" s="1"/>
      <c r="K16" s="56" t="s">
        <v>132</v>
      </c>
      <c r="L16" s="64">
        <f>M13*M16</f>
        <v>37</v>
      </c>
      <c r="M16" s="19">
        <v>0.5</v>
      </c>
      <c r="N16" s="57">
        <v>-1</v>
      </c>
      <c r="S16" s="6"/>
      <c r="AK16" s="238" t="s">
        <v>722</v>
      </c>
      <c r="AL16" s="241">
        <f>AA46*4</f>
        <v>24</v>
      </c>
    </row>
    <row r="17" spans="1:38" ht="13.5" thickBot="1">
      <c r="A17" s="112" t="s">
        <v>797</v>
      </c>
      <c r="B17" s="73">
        <v>10</v>
      </c>
      <c r="C17" s="74">
        <f>IF(E1&gt;0,LOOKUP(E1,Species!A2:A64,Species!L2:L64),"")</f>
        <v>1</v>
      </c>
      <c r="D17" s="74"/>
      <c r="E17" s="74">
        <f t="shared" si="3"/>
        <v>11</v>
      </c>
      <c r="F17" s="75">
        <f>IF(B17&gt;0,LOOKUP(E17,'Stat Bonuses'!A2:A49,'Stat Bonuses'!B2:B49),"")</f>
        <v>0</v>
      </c>
      <c r="G17" s="14"/>
      <c r="H17" s="43"/>
      <c r="I17" s="3"/>
      <c r="J17" s="1"/>
      <c r="K17" s="22" t="s">
        <v>133</v>
      </c>
      <c r="L17" s="65">
        <f>M13*M17</f>
        <v>55.5</v>
      </c>
      <c r="M17" s="18">
        <v>0.75</v>
      </c>
      <c r="N17" s="28">
        <v>-2</v>
      </c>
      <c r="S17" s="6"/>
      <c r="AK17" s="238" t="s">
        <v>563</v>
      </c>
      <c r="AL17" s="241">
        <f>M13</f>
        <v>74</v>
      </c>
    </row>
    <row r="18" spans="1:38" ht="13.5" thickBot="1">
      <c r="A18" s="112" t="s">
        <v>911</v>
      </c>
      <c r="B18" s="51">
        <v>8</v>
      </c>
      <c r="C18" s="52">
        <f>IF(E1&gt;0,LOOKUP(E1,Species!A2:A64,Species!M2:M64),"")</f>
        <v>4</v>
      </c>
      <c r="D18" s="52"/>
      <c r="E18" s="52">
        <f t="shared" si="3"/>
        <v>12</v>
      </c>
      <c r="F18" s="76">
        <f>IF(B18&gt;0,LOOKUP(E18,'Stat Bonuses'!A2:A49,'Stat Bonuses'!B2:B49),"")</f>
        <v>1</v>
      </c>
      <c r="G18" s="14"/>
      <c r="H18" s="43"/>
      <c r="I18" s="3"/>
      <c r="J18" s="1"/>
      <c r="K18" s="56" t="s">
        <v>134</v>
      </c>
      <c r="L18" s="64">
        <f>M13*M18</f>
        <v>62.9</v>
      </c>
      <c r="M18" s="19">
        <v>0.85</v>
      </c>
      <c r="N18" s="57">
        <v>-3</v>
      </c>
      <c r="S18" s="6"/>
      <c r="AK18" s="238" t="s">
        <v>946</v>
      </c>
      <c r="AL18" s="242">
        <f>SUM(AL1:AL17)</f>
        <v>277</v>
      </c>
    </row>
    <row r="19" spans="1:38" ht="13.5" thickBot="1">
      <c r="A19" s="71" t="s">
        <v>300</v>
      </c>
      <c r="B19" s="17"/>
      <c r="C19" s="17"/>
      <c r="D19" s="17"/>
      <c r="E19" s="17"/>
      <c r="F19" s="17"/>
      <c r="G19" s="14"/>
      <c r="H19" s="43"/>
      <c r="I19" s="3"/>
      <c r="J19" s="1"/>
      <c r="K19" s="22" t="s">
        <v>135</v>
      </c>
      <c r="L19" s="65">
        <f>M13*M19</f>
        <v>66.60000000000001</v>
      </c>
      <c r="M19" s="18">
        <v>0.9</v>
      </c>
      <c r="N19" s="28">
        <v>-4</v>
      </c>
      <c r="S19" s="6"/>
      <c r="AK19" s="238" t="s">
        <v>564</v>
      </c>
      <c r="AL19" s="242">
        <f>AL18/50</f>
        <v>5.54</v>
      </c>
    </row>
    <row r="20" spans="1:19" ht="12.75">
      <c r="A20" s="112" t="s">
        <v>912</v>
      </c>
      <c r="B20" s="49">
        <f>IF(B13&gt;0,(B13+B15)/2,"")</f>
        <v>13</v>
      </c>
      <c r="C20" s="50" t="s">
        <v>490</v>
      </c>
      <c r="D20" s="50" t="s">
        <v>490</v>
      </c>
      <c r="E20" s="50">
        <f>IF(B13&gt;0,(E13+E15)/2,"")</f>
        <v>14.5</v>
      </c>
      <c r="F20" s="72">
        <f>IF(B20&gt;0,LOOKUP(E20,'Stat Bonuses'!A2:A49,'Stat Bonuses'!B2:B49)+1,"")</f>
        <v>3</v>
      </c>
      <c r="G20" s="17"/>
      <c r="H20" s="43"/>
      <c r="I20" s="3"/>
      <c r="J20" s="1"/>
      <c r="K20" s="56" t="s">
        <v>136</v>
      </c>
      <c r="L20" s="64">
        <f>M13*M20</f>
        <v>70.3</v>
      </c>
      <c r="M20" s="19">
        <v>0.95</v>
      </c>
      <c r="N20" s="57">
        <v>-5</v>
      </c>
      <c r="R20" t="s">
        <v>100</v>
      </c>
      <c r="S20" s="154" t="s">
        <v>745</v>
      </c>
    </row>
    <row r="21" spans="1:19" ht="13.5" thickBot="1">
      <c r="A21" s="112" t="s">
        <v>913</v>
      </c>
      <c r="B21" s="51">
        <f>IF(B20="","",(B20+B9)/2)</f>
        <v>15.5</v>
      </c>
      <c r="C21" s="52" t="s">
        <v>490</v>
      </c>
      <c r="D21" s="52" t="s">
        <v>490</v>
      </c>
      <c r="E21" s="52">
        <f>IF(E20="","",(E20+E9)/2)</f>
        <v>18.25</v>
      </c>
      <c r="F21" s="76">
        <f>IF(B21&gt;0,LOOKUP(E21,'Stat Bonuses'!A2:A49,'Stat Bonuses'!B2:B49),"")</f>
        <v>4</v>
      </c>
      <c r="G21" s="17"/>
      <c r="H21" s="27"/>
      <c r="I21" s="3"/>
      <c r="J21" s="1"/>
      <c r="K21" s="23" t="s">
        <v>279</v>
      </c>
      <c r="L21" s="65">
        <f>M13*M21</f>
        <v>74</v>
      </c>
      <c r="M21" s="18">
        <v>1</v>
      </c>
      <c r="N21" s="28" t="s">
        <v>490</v>
      </c>
      <c r="R21" t="s">
        <v>101</v>
      </c>
      <c r="S21" t="s">
        <v>102</v>
      </c>
    </row>
    <row r="22" spans="1:20" ht="13.5" thickBot="1">
      <c r="A22" s="27"/>
      <c r="B22" s="2"/>
      <c r="C22" s="2"/>
      <c r="D22" s="2"/>
      <c r="E22" s="2"/>
      <c r="F22" s="2"/>
      <c r="G22" s="2"/>
      <c r="H22" s="29"/>
      <c r="I22" s="44"/>
      <c r="J22" s="45"/>
      <c r="K22" s="45" t="s">
        <v>137</v>
      </c>
      <c r="L22" s="66">
        <f>M13*M22</f>
        <v>88.8</v>
      </c>
      <c r="M22" s="46">
        <v>1.2</v>
      </c>
      <c r="N22" s="31" t="s">
        <v>490</v>
      </c>
      <c r="R22" t="s">
        <v>851</v>
      </c>
      <c r="S22" t="s">
        <v>1079</v>
      </c>
      <c r="T22" t="s">
        <v>371</v>
      </c>
    </row>
    <row r="23" spans="1:32" ht="12.75">
      <c r="A23" s="24" t="s">
        <v>301</v>
      </c>
      <c r="B23" s="25"/>
      <c r="C23" s="25" t="s">
        <v>127</v>
      </c>
      <c r="D23" s="25" t="s">
        <v>128</v>
      </c>
      <c r="E23" s="25" t="s">
        <v>129</v>
      </c>
      <c r="F23" s="26" t="s">
        <v>947</v>
      </c>
      <c r="G23" s="8"/>
      <c r="H23" s="24" t="s">
        <v>945</v>
      </c>
      <c r="I23" s="47"/>
      <c r="J23" s="25"/>
      <c r="K23" s="25" t="s">
        <v>729</v>
      </c>
      <c r="L23" s="25" t="s">
        <v>1016</v>
      </c>
      <c r="M23" s="25" t="s">
        <v>798</v>
      </c>
      <c r="N23" s="26" t="s">
        <v>946</v>
      </c>
      <c r="P23" s="165"/>
      <c r="R23" s="164" t="s">
        <v>408</v>
      </c>
      <c r="S23" s="164" t="s">
        <v>796</v>
      </c>
      <c r="T23" s="164" t="s">
        <v>410</v>
      </c>
      <c r="U23" s="164" t="s">
        <v>411</v>
      </c>
      <c r="V23" s="164" t="s">
        <v>849</v>
      </c>
      <c r="W23" s="164" t="s">
        <v>1136</v>
      </c>
      <c r="X23" s="164" t="s">
        <v>953</v>
      </c>
      <c r="Y23" s="164" t="s">
        <v>907</v>
      </c>
      <c r="Z23" s="164" t="s">
        <v>910</v>
      </c>
      <c r="AA23" s="164" t="s">
        <v>956</v>
      </c>
      <c r="AB23" s="164" t="s">
        <v>797</v>
      </c>
      <c r="AC23" s="164" t="s">
        <v>911</v>
      </c>
      <c r="AD23" s="164" t="s">
        <v>912</v>
      </c>
      <c r="AE23" s="164" t="s">
        <v>913</v>
      </c>
      <c r="AF23" s="164" t="s">
        <v>163</v>
      </c>
    </row>
    <row r="24" spans="1:32" ht="12.75">
      <c r="A24" s="27" t="s">
        <v>623</v>
      </c>
      <c r="B24" s="9"/>
      <c r="C24" s="9">
        <f>IF(A24&gt;0,LOOKUP(A24,Armor!A2:A62,Armor!B2:B62),"")</f>
        <v>12</v>
      </c>
      <c r="D24" s="9">
        <f>IF(A24&gt;0,LOOKUP(A24,Armor!A2:A62,Armor!C2:C62),"")</f>
        <v>10</v>
      </c>
      <c r="E24" s="9">
        <f>IF(A24&gt;0,LOOKUP(A24,Armor!A2:A62,Armor!D2:D62),"")</f>
        <v>11</v>
      </c>
      <c r="F24" s="28">
        <f>IF(A24&gt;0,LOOKUP(A24,Armor!A2:A62,Armor!E2:E62),"")</f>
        <v>0</v>
      </c>
      <c r="G24" s="9"/>
      <c r="H24" s="53" t="s">
        <v>559</v>
      </c>
      <c r="I24" s="4"/>
      <c r="J24" s="13"/>
      <c r="K24" s="13">
        <v>9</v>
      </c>
      <c r="L24" s="163" t="str">
        <f>IF(H24&gt;0,LOOKUP(H24,Skills!A2:A419,Skills!B2:B419),"")</f>
        <v>Dexterity</v>
      </c>
      <c r="M24" s="163">
        <f>IF(H24&gt;0,P24,"")</f>
        <v>5</v>
      </c>
      <c r="N24" s="157" t="str">
        <f>IF(H24&gt;0,$T$22&amp;AF24,"")</f>
        <v>D20+14</v>
      </c>
      <c r="P24">
        <f>SUM(R24:AE24)</f>
        <v>5</v>
      </c>
      <c r="R24">
        <f>IF(L24=$A$6,$F$6,0)</f>
        <v>0</v>
      </c>
      <c r="S24">
        <f>IF(L24=$A$7,$F$7,0)</f>
        <v>0</v>
      </c>
      <c r="T24">
        <f>IF(L24=$A$8,$F$8,0)</f>
        <v>5</v>
      </c>
      <c r="U24">
        <f>IF(L24=$A$9,$F$9,0)</f>
        <v>0</v>
      </c>
      <c r="V24">
        <f>IF(L24=$A$10,$F$10,0)</f>
        <v>0</v>
      </c>
      <c r="W24">
        <f>IF(L24=$A$11,$F$11,0)</f>
        <v>0</v>
      </c>
      <c r="X24">
        <f>IF(L24=$A$13,$F$13,0)</f>
        <v>0</v>
      </c>
      <c r="Y24">
        <f>IF(L24=$A$14,$F$14,0)</f>
        <v>0</v>
      </c>
      <c r="Z24">
        <f>IF(L24=$A$15,$F$15,0)</f>
        <v>0</v>
      </c>
      <c r="AA24">
        <f>IF(L24=$A$16,$F$16,0)</f>
        <v>0</v>
      </c>
      <c r="AB24">
        <f>IF(L24=$A$17,$F$17,0)</f>
        <v>0</v>
      </c>
      <c r="AC24">
        <f>IF(L24=$A$18,$F$18,0)</f>
        <v>0</v>
      </c>
      <c r="AD24">
        <f>IF(L24=$A$20,$F$20,0)</f>
        <v>0</v>
      </c>
      <c r="AE24">
        <f>IF(L24=$A$21,$F$21,0)</f>
        <v>0</v>
      </c>
      <c r="AF24">
        <f>K24+M24</f>
        <v>14</v>
      </c>
    </row>
    <row r="25" spans="1:32" ht="13.5" thickBot="1">
      <c r="A25" s="29" t="s">
        <v>334</v>
      </c>
      <c r="B25" s="30"/>
      <c r="C25" s="30">
        <f>IF(A25&gt;0,LOOKUP(A25,Armor!A2:A62,Armor!B2:B62),"")</f>
        <v>3</v>
      </c>
      <c r="D25" s="30">
        <f>IF(A25&gt;0,LOOKUP(A25,Armor!A2:A62,Armor!C2:C62),"")</f>
        <v>9</v>
      </c>
      <c r="E25" s="30">
        <f>IF(A25&gt;0,LOOKUP(A25,Armor!A2:A62,Armor!D2:D62),"")</f>
        <v>6</v>
      </c>
      <c r="F25" s="31">
        <f>IF(A25&gt;0,LOOKUP(A25,Armor!A2:A62,Armor!E2:E62),"")</f>
        <v>0</v>
      </c>
      <c r="G25" s="9"/>
      <c r="H25" s="53" t="s">
        <v>1199</v>
      </c>
      <c r="I25" s="4"/>
      <c r="J25" s="13"/>
      <c r="K25" s="13">
        <v>8</v>
      </c>
      <c r="L25" s="163" t="str">
        <f>IF(H25&gt;0,LOOKUP(H25,Skills!A2:A419,Skills!B2:B419),"")</f>
        <v>Dexterity</v>
      </c>
      <c r="M25" s="163">
        <f aca="true" t="shared" si="4" ref="M25:M37">IF(H25&gt;0,P25,"")</f>
        <v>5</v>
      </c>
      <c r="N25" s="157" t="str">
        <f aca="true" t="shared" si="5" ref="N25:N36">IF(H25&gt;0,$T$22&amp;AF25,"")</f>
        <v>D20+13</v>
      </c>
      <c r="P25">
        <f aca="true" t="shared" si="6" ref="P25:P37">SUM(R25:AE25)</f>
        <v>5</v>
      </c>
      <c r="R25">
        <f aca="true" t="shared" si="7" ref="R25:R37">IF(L25=$A$6,$F$6,0)</f>
        <v>0</v>
      </c>
      <c r="S25">
        <f aca="true" t="shared" si="8" ref="S25:S37">IF(L25=$A$7,$F$7,0)</f>
        <v>0</v>
      </c>
      <c r="T25">
        <f aca="true" t="shared" si="9" ref="T25:T37">IF(L25=$A$8,$F$8,0)</f>
        <v>5</v>
      </c>
      <c r="U25">
        <f aca="true" t="shared" si="10" ref="U25:U37">IF(L25=$A$9,$F$9,0)</f>
        <v>0</v>
      </c>
      <c r="V25">
        <f aca="true" t="shared" si="11" ref="V25:V37">IF(L25=$A$10,$F$10,0)</f>
        <v>0</v>
      </c>
      <c r="W25">
        <f aca="true" t="shared" si="12" ref="W25:W37">IF(L25=$A$11,$F$11,0)</f>
        <v>0</v>
      </c>
      <c r="X25">
        <f aca="true" t="shared" si="13" ref="X25:X37">IF(L25=$A$13,$F$13,0)</f>
        <v>0</v>
      </c>
      <c r="Y25">
        <f aca="true" t="shared" si="14" ref="Y25:Y37">IF(L25=$A$14,$F$14,0)</f>
        <v>0</v>
      </c>
      <c r="Z25">
        <f aca="true" t="shared" si="15" ref="Z25:Z37">IF(L25=$A$15,$F$15,0)</f>
        <v>0</v>
      </c>
      <c r="AA25">
        <f aca="true" t="shared" si="16" ref="AA25:AA37">IF(L25=$A$16,$F$16,0)</f>
        <v>0</v>
      </c>
      <c r="AB25">
        <f aca="true" t="shared" si="17" ref="AB25:AB37">IF(L25=$A$17,$F$17,0)</f>
        <v>0</v>
      </c>
      <c r="AC25">
        <f aca="true" t="shared" si="18" ref="AC25:AC37">IF(L25=$A$18,$F$18,0)</f>
        <v>0</v>
      </c>
      <c r="AD25">
        <f aca="true" t="shared" si="19" ref="AD25:AD37">IF(L25=$A$20,$F$20,0)</f>
        <v>0</v>
      </c>
      <c r="AE25">
        <f aca="true" t="shared" si="20" ref="AE25:AE37">IF(L25=$A$21,$F$21,0)</f>
        <v>0</v>
      </c>
      <c r="AF25">
        <f aca="true" t="shared" si="21" ref="AF25:AF37">K25+M25</f>
        <v>13</v>
      </c>
    </row>
    <row r="26" spans="1:32" ht="13.5" thickBot="1">
      <c r="A26" s="27"/>
      <c r="B26" s="2"/>
      <c r="C26" s="2"/>
      <c r="D26" s="2"/>
      <c r="E26" s="2"/>
      <c r="F26" s="2"/>
      <c r="G26" s="2"/>
      <c r="H26" s="53" t="s">
        <v>367</v>
      </c>
      <c r="I26" s="4"/>
      <c r="J26" s="13"/>
      <c r="K26" s="13">
        <v>9</v>
      </c>
      <c r="L26" s="163" t="str">
        <f>IF(H26&gt;0,LOOKUP(H26,Skills!A2:A419,Skills!B2:B419),"")</f>
        <v>Dexterity</v>
      </c>
      <c r="M26" s="163">
        <f t="shared" si="4"/>
        <v>5</v>
      </c>
      <c r="N26" s="157" t="str">
        <f t="shared" si="5"/>
        <v>D20+14</v>
      </c>
      <c r="P26">
        <f t="shared" si="6"/>
        <v>5</v>
      </c>
      <c r="R26">
        <f t="shared" si="7"/>
        <v>0</v>
      </c>
      <c r="S26">
        <f t="shared" si="8"/>
        <v>0</v>
      </c>
      <c r="T26">
        <f t="shared" si="9"/>
        <v>5</v>
      </c>
      <c r="U26">
        <f t="shared" si="10"/>
        <v>0</v>
      </c>
      <c r="V26">
        <f t="shared" si="11"/>
        <v>0</v>
      </c>
      <c r="W26">
        <f t="shared" si="12"/>
        <v>0</v>
      </c>
      <c r="X26">
        <f t="shared" si="13"/>
        <v>0</v>
      </c>
      <c r="Y26">
        <f t="shared" si="14"/>
        <v>0</v>
      </c>
      <c r="Z26">
        <f t="shared" si="15"/>
        <v>0</v>
      </c>
      <c r="AA26">
        <f t="shared" si="16"/>
        <v>0</v>
      </c>
      <c r="AB26">
        <f t="shared" si="17"/>
        <v>0</v>
      </c>
      <c r="AC26">
        <f t="shared" si="18"/>
        <v>0</v>
      </c>
      <c r="AD26">
        <f t="shared" si="19"/>
        <v>0</v>
      </c>
      <c r="AE26">
        <f t="shared" si="20"/>
        <v>0</v>
      </c>
      <c r="AF26">
        <f t="shared" si="21"/>
        <v>14</v>
      </c>
    </row>
    <row r="27" spans="1:32" ht="12.75">
      <c r="A27" s="24" t="s">
        <v>950</v>
      </c>
      <c r="B27" s="25"/>
      <c r="C27" s="25" t="s">
        <v>951</v>
      </c>
      <c r="D27" s="25" t="s">
        <v>799</v>
      </c>
      <c r="E27" s="25" t="s">
        <v>798</v>
      </c>
      <c r="F27" s="26" t="s">
        <v>124</v>
      </c>
      <c r="G27" s="16"/>
      <c r="H27" s="133" t="s">
        <v>950</v>
      </c>
      <c r="I27" s="134"/>
      <c r="J27" s="135"/>
      <c r="K27" s="135">
        <v>9</v>
      </c>
      <c r="L27" s="163" t="str">
        <f>IF(H27&gt;0,LOOKUP(H27,Skills!A2:A419,Skills!B2:B419),"")</f>
        <v>Agility</v>
      </c>
      <c r="M27" s="163">
        <f t="shared" si="4"/>
        <v>6</v>
      </c>
      <c r="N27" s="157" t="str">
        <f t="shared" si="5"/>
        <v>D20+15</v>
      </c>
      <c r="P27">
        <f t="shared" si="6"/>
        <v>6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6</v>
      </c>
      <c r="V27">
        <f t="shared" si="11"/>
        <v>0</v>
      </c>
      <c r="W27">
        <f t="shared" si="12"/>
        <v>0</v>
      </c>
      <c r="X27">
        <f t="shared" si="13"/>
        <v>0</v>
      </c>
      <c r="Y27">
        <f t="shared" si="14"/>
        <v>0</v>
      </c>
      <c r="Z27">
        <f t="shared" si="15"/>
        <v>0</v>
      </c>
      <c r="AA27">
        <f t="shared" si="16"/>
        <v>0</v>
      </c>
      <c r="AB27">
        <f t="shared" si="17"/>
        <v>0</v>
      </c>
      <c r="AC27">
        <f t="shared" si="18"/>
        <v>0</v>
      </c>
      <c r="AD27">
        <f t="shared" si="19"/>
        <v>0</v>
      </c>
      <c r="AE27">
        <f t="shared" si="20"/>
        <v>0</v>
      </c>
      <c r="AF27">
        <f t="shared" si="21"/>
        <v>15</v>
      </c>
    </row>
    <row r="28" spans="1:32" ht="12.75">
      <c r="A28" s="27" t="s">
        <v>948</v>
      </c>
      <c r="B28" s="2"/>
      <c r="C28" s="9">
        <v>0</v>
      </c>
      <c r="D28" s="65">
        <v>1</v>
      </c>
      <c r="E28" s="65">
        <f>F6</f>
        <v>3</v>
      </c>
      <c r="F28" s="28" t="str">
        <f>IF(E28=0,R21,IF(E28&lt;0,R21&amp;E28,IF(E28&gt;0,S21&amp;E28)))</f>
        <v>D6+3</v>
      </c>
      <c r="G28" s="9"/>
      <c r="H28" s="53" t="s">
        <v>566</v>
      </c>
      <c r="I28" s="4"/>
      <c r="J28" s="13"/>
      <c r="K28" s="13">
        <v>7</v>
      </c>
      <c r="L28" s="163" t="str">
        <f>IF(H28&gt;0,LOOKUP(H28,Skills!A2:A419,Skills!B2:B419),"")</f>
        <v>Perception</v>
      </c>
      <c r="M28" s="163">
        <f t="shared" si="4"/>
        <v>3</v>
      </c>
      <c r="N28" s="157" t="str">
        <f t="shared" si="5"/>
        <v>D20+10</v>
      </c>
      <c r="P28">
        <f t="shared" si="6"/>
        <v>3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11"/>
        <v>0</v>
      </c>
      <c r="W28">
        <f t="shared" si="12"/>
        <v>0</v>
      </c>
      <c r="X28">
        <f t="shared" si="13"/>
        <v>0</v>
      </c>
      <c r="Y28">
        <f t="shared" si="14"/>
        <v>0</v>
      </c>
      <c r="Z28">
        <f t="shared" si="15"/>
        <v>0</v>
      </c>
      <c r="AA28">
        <f t="shared" si="16"/>
        <v>0</v>
      </c>
      <c r="AB28">
        <f t="shared" si="17"/>
        <v>0</v>
      </c>
      <c r="AC28">
        <f t="shared" si="18"/>
        <v>0</v>
      </c>
      <c r="AD28">
        <f t="shared" si="19"/>
        <v>3</v>
      </c>
      <c r="AE28">
        <f t="shared" si="20"/>
        <v>0</v>
      </c>
      <c r="AF28">
        <f t="shared" si="21"/>
        <v>10</v>
      </c>
    </row>
    <row r="29" spans="1:32" ht="13.5" thickBot="1">
      <c r="A29" s="29" t="s">
        <v>949</v>
      </c>
      <c r="B29" s="33"/>
      <c r="C29" s="30">
        <v>0</v>
      </c>
      <c r="D29" s="66">
        <v>2</v>
      </c>
      <c r="E29" s="66">
        <f>F6</f>
        <v>3</v>
      </c>
      <c r="F29" s="31" t="str">
        <f>IF(E29=0,R22,IF(E29&lt;0,R22&amp;E29,IF(E29&gt;0,S22&amp;E29)))</f>
        <v>2D6+3</v>
      </c>
      <c r="G29" s="9"/>
      <c r="H29" s="133" t="s">
        <v>1144</v>
      </c>
      <c r="I29" s="136"/>
      <c r="J29" s="135"/>
      <c r="K29" s="135">
        <v>3</v>
      </c>
      <c r="L29" s="163" t="str">
        <f>IF(H29&gt;0,LOOKUP(H29,Skills!A2:A419,Skills!B2:B419),"")</f>
        <v>Agility</v>
      </c>
      <c r="M29" s="163">
        <f t="shared" si="4"/>
        <v>6</v>
      </c>
      <c r="N29" s="157" t="str">
        <f t="shared" si="5"/>
        <v>D20+9</v>
      </c>
      <c r="P29">
        <f t="shared" si="6"/>
        <v>6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6</v>
      </c>
      <c r="V29">
        <f t="shared" si="11"/>
        <v>0</v>
      </c>
      <c r="W29">
        <f t="shared" si="12"/>
        <v>0</v>
      </c>
      <c r="X29">
        <f t="shared" si="13"/>
        <v>0</v>
      </c>
      <c r="Y29">
        <f t="shared" si="14"/>
        <v>0</v>
      </c>
      <c r="Z29">
        <f t="shared" si="15"/>
        <v>0</v>
      </c>
      <c r="AA29">
        <f t="shared" si="16"/>
        <v>0</v>
      </c>
      <c r="AB29">
        <f t="shared" si="17"/>
        <v>0</v>
      </c>
      <c r="AC29">
        <f t="shared" si="18"/>
        <v>0</v>
      </c>
      <c r="AD29">
        <f t="shared" si="19"/>
        <v>0</v>
      </c>
      <c r="AE29">
        <f t="shared" si="20"/>
        <v>0</v>
      </c>
      <c r="AF29">
        <f t="shared" si="21"/>
        <v>9</v>
      </c>
    </row>
    <row r="30" spans="1:32" ht="13.5" thickBot="1">
      <c r="A30" s="27"/>
      <c r="B30" s="2"/>
      <c r="C30" s="2"/>
      <c r="D30" s="2"/>
      <c r="E30" s="2"/>
      <c r="F30" s="2"/>
      <c r="G30" s="2"/>
      <c r="H30" s="59" t="s">
        <v>446</v>
      </c>
      <c r="I30" s="58"/>
      <c r="J30" s="13"/>
      <c r="K30" s="13">
        <v>4</v>
      </c>
      <c r="L30" s="163" t="str">
        <f>IF(H30&gt;0,LOOKUP(H30,Skills!A2:A419,Skills!B2:B419),"")</f>
        <v>Perception</v>
      </c>
      <c r="M30" s="163">
        <f t="shared" si="4"/>
        <v>3</v>
      </c>
      <c r="N30" s="157" t="str">
        <f t="shared" si="5"/>
        <v>D20+7</v>
      </c>
      <c r="P30">
        <f t="shared" si="6"/>
        <v>3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V30">
        <f t="shared" si="11"/>
        <v>0</v>
      </c>
      <c r="W30">
        <f t="shared" si="12"/>
        <v>0</v>
      </c>
      <c r="X30">
        <f t="shared" si="13"/>
        <v>0</v>
      </c>
      <c r="Y30">
        <f t="shared" si="14"/>
        <v>0</v>
      </c>
      <c r="Z30">
        <f t="shared" si="15"/>
        <v>0</v>
      </c>
      <c r="AA30">
        <f t="shared" si="16"/>
        <v>0</v>
      </c>
      <c r="AB30">
        <f t="shared" si="17"/>
        <v>0</v>
      </c>
      <c r="AC30">
        <f t="shared" si="18"/>
        <v>0</v>
      </c>
      <c r="AD30">
        <f t="shared" si="19"/>
        <v>3</v>
      </c>
      <c r="AE30">
        <f t="shared" si="20"/>
        <v>0</v>
      </c>
      <c r="AF30">
        <f t="shared" si="21"/>
        <v>7</v>
      </c>
    </row>
    <row r="31" spans="1:32" ht="12.75">
      <c r="A31" s="24" t="s">
        <v>288</v>
      </c>
      <c r="B31" s="25" t="s">
        <v>800</v>
      </c>
      <c r="C31" s="25" t="s">
        <v>951</v>
      </c>
      <c r="D31" s="25" t="s">
        <v>799</v>
      </c>
      <c r="E31" s="25" t="s">
        <v>798</v>
      </c>
      <c r="F31" s="26" t="s">
        <v>124</v>
      </c>
      <c r="G31" s="16"/>
      <c r="H31" s="137" t="s">
        <v>457</v>
      </c>
      <c r="I31" s="136"/>
      <c r="J31" s="135"/>
      <c r="K31" s="135">
        <v>3</v>
      </c>
      <c r="L31" s="163" t="str">
        <f>IF(H31&gt;0,LOOKUP(H31,Skills!A2:A419,Skills!B2:B419),"")</f>
        <v>Initiative/Reaction</v>
      </c>
      <c r="M31" s="163">
        <f t="shared" si="4"/>
        <v>4</v>
      </c>
      <c r="N31" s="157" t="str">
        <f t="shared" si="5"/>
        <v>D20+7</v>
      </c>
      <c r="P31">
        <f t="shared" si="6"/>
        <v>4</v>
      </c>
      <c r="R31">
        <f t="shared" si="7"/>
        <v>0</v>
      </c>
      <c r="S31">
        <f t="shared" si="8"/>
        <v>0</v>
      </c>
      <c r="T31">
        <f t="shared" si="9"/>
        <v>0</v>
      </c>
      <c r="U31">
        <f t="shared" si="10"/>
        <v>0</v>
      </c>
      <c r="V31">
        <f t="shared" si="11"/>
        <v>0</v>
      </c>
      <c r="W31">
        <f t="shared" si="12"/>
        <v>0</v>
      </c>
      <c r="X31">
        <f t="shared" si="13"/>
        <v>0</v>
      </c>
      <c r="Y31">
        <f t="shared" si="14"/>
        <v>0</v>
      </c>
      <c r="Z31">
        <f t="shared" si="15"/>
        <v>0</v>
      </c>
      <c r="AA31">
        <f t="shared" si="16"/>
        <v>0</v>
      </c>
      <c r="AB31">
        <f t="shared" si="17"/>
        <v>0</v>
      </c>
      <c r="AC31">
        <f t="shared" si="18"/>
        <v>0</v>
      </c>
      <c r="AD31">
        <f t="shared" si="19"/>
        <v>0</v>
      </c>
      <c r="AE31">
        <f t="shared" si="20"/>
        <v>4</v>
      </c>
      <c r="AF31">
        <f t="shared" si="21"/>
        <v>7</v>
      </c>
    </row>
    <row r="32" spans="1:32" ht="12.75">
      <c r="A32" s="27" t="s">
        <v>669</v>
      </c>
      <c r="B32" s="9">
        <f>IF(A32&gt;0,LOOKUP(A32,Melee!A2:A92,Melee!E2:E92),"")</f>
        <v>8</v>
      </c>
      <c r="C32" s="9">
        <f>IF(A32&gt;0,LOOKUP(A32,Melee!A2:A92,Melee!D2:D92),"")</f>
        <v>2</v>
      </c>
      <c r="D32" s="9">
        <f>IF(A32&gt;0,LOOKUP(A32,Melee!A2:A92,Melee!C2:C92),"")</f>
        <v>7</v>
      </c>
      <c r="E32" s="65">
        <f>IF(A32&gt;0,F6,"")</f>
        <v>3</v>
      </c>
      <c r="F32" s="28" t="str">
        <f>IF(A32=0,"",IF(E32=0,D32&amp;R21,IF(E32&lt;0,D32&amp;R21&amp;E32,IF(E32&gt;0,D32&amp;S21&amp;E32))))</f>
        <v>7D6+3</v>
      </c>
      <c r="G32" s="9"/>
      <c r="H32" s="59" t="s">
        <v>14</v>
      </c>
      <c r="I32" s="4"/>
      <c r="J32" s="10"/>
      <c r="K32" s="10">
        <v>8</v>
      </c>
      <c r="L32" s="163" t="str">
        <f>IF(H32&gt;0,LOOKUP(H32,Skills!A2:A419,Skills!B2:B419),"")</f>
        <v>Agility</v>
      </c>
      <c r="M32" s="163">
        <f t="shared" si="4"/>
        <v>6</v>
      </c>
      <c r="N32" s="157" t="str">
        <f t="shared" si="5"/>
        <v>D20+14</v>
      </c>
      <c r="P32">
        <f t="shared" si="6"/>
        <v>6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6</v>
      </c>
      <c r="V32">
        <f t="shared" si="11"/>
        <v>0</v>
      </c>
      <c r="W32">
        <f t="shared" si="12"/>
        <v>0</v>
      </c>
      <c r="X32">
        <f t="shared" si="13"/>
        <v>0</v>
      </c>
      <c r="Y32">
        <f t="shared" si="14"/>
        <v>0</v>
      </c>
      <c r="Z32">
        <f t="shared" si="15"/>
        <v>0</v>
      </c>
      <c r="AA32">
        <f t="shared" si="16"/>
        <v>0</v>
      </c>
      <c r="AB32">
        <f t="shared" si="17"/>
        <v>0</v>
      </c>
      <c r="AC32">
        <f t="shared" si="18"/>
        <v>0</v>
      </c>
      <c r="AD32">
        <f t="shared" si="19"/>
        <v>0</v>
      </c>
      <c r="AE32">
        <f t="shared" si="20"/>
        <v>0</v>
      </c>
      <c r="AF32">
        <f t="shared" si="21"/>
        <v>14</v>
      </c>
    </row>
    <row r="33" spans="1:32" ht="12.75">
      <c r="A33" s="53" t="s">
        <v>456</v>
      </c>
      <c r="B33" s="13">
        <f>IF(A33&gt;0,LOOKUP(A33,Melee!A2:A92,Melee!E2:E92),"")</f>
        <v>8</v>
      </c>
      <c r="C33" s="13">
        <f>IF(A33&gt;0,LOOKUP(A33,Melee!A2:A92,Melee!D2:D92),"")</f>
        <v>2</v>
      </c>
      <c r="D33" s="13">
        <f>IF(A33&gt;0,LOOKUP(A33,Melee!A2:A92,Melee!C2:C92),"")</f>
        <v>5</v>
      </c>
      <c r="E33" s="110">
        <f>IF(A33&gt;0,F6,"")</f>
        <v>3</v>
      </c>
      <c r="F33" s="54" t="str">
        <f>IF(A33=0,"",IF(E33=0,D33&amp;R21,IF(E33&lt;0,D33&amp;R21&amp;E33,IF(E33&gt;0,D33&amp;S21&amp;E33))))</f>
        <v>5D6+3</v>
      </c>
      <c r="G33" s="12"/>
      <c r="H33" s="137" t="s">
        <v>175</v>
      </c>
      <c r="I33" s="134"/>
      <c r="J33" s="138"/>
      <c r="K33" s="138">
        <v>6</v>
      </c>
      <c r="L33" s="163" t="str">
        <f>IF(H33&gt;0,LOOKUP(H33,Skills!A2:A419,Skills!B2:B419),"")</f>
        <v>Intelligence</v>
      </c>
      <c r="M33" s="163">
        <f t="shared" si="4"/>
        <v>3</v>
      </c>
      <c r="N33" s="157" t="str">
        <f t="shared" si="5"/>
        <v>D20+9</v>
      </c>
      <c r="P33">
        <f t="shared" si="6"/>
        <v>3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11"/>
        <v>0</v>
      </c>
      <c r="W33">
        <f t="shared" si="12"/>
        <v>0</v>
      </c>
      <c r="X33">
        <f t="shared" si="13"/>
        <v>3</v>
      </c>
      <c r="Y33">
        <f t="shared" si="14"/>
        <v>0</v>
      </c>
      <c r="Z33">
        <f t="shared" si="15"/>
        <v>0</v>
      </c>
      <c r="AA33">
        <f t="shared" si="16"/>
        <v>0</v>
      </c>
      <c r="AB33">
        <f t="shared" si="17"/>
        <v>0</v>
      </c>
      <c r="AC33">
        <f t="shared" si="18"/>
        <v>0</v>
      </c>
      <c r="AD33">
        <f t="shared" si="19"/>
        <v>0</v>
      </c>
      <c r="AE33">
        <f t="shared" si="20"/>
        <v>0</v>
      </c>
      <c r="AF33">
        <f t="shared" si="21"/>
        <v>9</v>
      </c>
    </row>
    <row r="34" spans="1:32" ht="12.75">
      <c r="A34" s="27"/>
      <c r="B34" s="9">
        <f>IF(A34&gt;0,LOOKUP(A34,Melee!A2:A92,Melee!E2:E92),"")</f>
      </c>
      <c r="C34" s="9">
        <f>IF(A34&gt;0,LOOKUP(A34,Melee!A2:A92,Melee!D2:D92),"")</f>
      </c>
      <c r="D34" s="9">
        <f>IF(A34&gt;0,LOOKUP(A34,Melee!A2:A92,Melee!C2:C92),"")</f>
      </c>
      <c r="E34" s="65">
        <f>IF(A34&gt;0,F6,"")</f>
      </c>
      <c r="F34" s="28">
        <f>IF(A34=0,"",IF(E34=0,D34&amp;R21,IF(E34&lt;0,D34&amp;R21&amp;E34,IF(E34&gt;0,D34&amp;S21&amp;E34))))</f>
      </c>
      <c r="G34" s="12"/>
      <c r="H34" s="59" t="s">
        <v>519</v>
      </c>
      <c r="I34" s="4"/>
      <c r="J34" s="10"/>
      <c r="K34" s="10">
        <v>6</v>
      </c>
      <c r="L34" s="163" t="str">
        <f>IF(H34&gt;0,LOOKUP(H34,Skills!A2:A419,Skills!B2:B419),"")</f>
        <v>Presence</v>
      </c>
      <c r="M34" s="163">
        <f t="shared" si="4"/>
        <v>0</v>
      </c>
      <c r="N34" s="157" t="str">
        <f t="shared" si="5"/>
        <v>D20+6</v>
      </c>
      <c r="P34">
        <f t="shared" si="6"/>
        <v>0</v>
      </c>
      <c r="R34">
        <f t="shared" si="7"/>
        <v>0</v>
      </c>
      <c r="S34">
        <f t="shared" si="8"/>
        <v>0</v>
      </c>
      <c r="T34">
        <f t="shared" si="9"/>
        <v>0</v>
      </c>
      <c r="U34">
        <f t="shared" si="10"/>
        <v>0</v>
      </c>
      <c r="V34">
        <f t="shared" si="11"/>
        <v>0</v>
      </c>
      <c r="W34">
        <f t="shared" si="12"/>
        <v>0</v>
      </c>
      <c r="X34">
        <f t="shared" si="13"/>
        <v>0</v>
      </c>
      <c r="Y34">
        <f t="shared" si="14"/>
        <v>0</v>
      </c>
      <c r="Z34">
        <f t="shared" si="15"/>
        <v>0</v>
      </c>
      <c r="AA34">
        <f t="shared" si="16"/>
        <v>0</v>
      </c>
      <c r="AB34">
        <f t="shared" si="17"/>
        <v>0</v>
      </c>
      <c r="AC34">
        <f t="shared" si="18"/>
        <v>0</v>
      </c>
      <c r="AD34">
        <f t="shared" si="19"/>
        <v>0</v>
      </c>
      <c r="AE34">
        <f t="shared" si="20"/>
        <v>0</v>
      </c>
      <c r="AF34">
        <f t="shared" si="21"/>
        <v>6</v>
      </c>
    </row>
    <row r="35" spans="1:32" ht="12.75">
      <c r="A35" s="53"/>
      <c r="B35" s="13">
        <f>IF(A35&gt;0,LOOKUP(A35,Melee!A2:A92,Melee!E2:E92),"")</f>
      </c>
      <c r="C35" s="13">
        <f>IF(A35&gt;0,LOOKUP(A35,Melee!A2:A92,Melee!D2:D92),"")</f>
      </c>
      <c r="D35" s="13">
        <f>IF(A35&gt;0,LOOKUP(A35,Melee!A2:A92,Melee!C2:C92),"")</f>
      </c>
      <c r="E35" s="110">
        <f>IF(A35&gt;0,F6,"")</f>
      </c>
      <c r="F35" s="54">
        <f>IF(A35=0,"",IF(E35=0,D35&amp;R21,IF(E35&lt;0,D35&amp;R21&amp;E35,IF(E35&gt;0,D35&amp;S21&amp;E35))))</f>
      </c>
      <c r="G35" s="12"/>
      <c r="H35" s="137" t="s">
        <v>450</v>
      </c>
      <c r="I35" s="134"/>
      <c r="J35" s="138"/>
      <c r="K35" s="138">
        <v>7</v>
      </c>
      <c r="L35" s="163" t="str">
        <f>IF(H35&gt;0,LOOKUP(H35,Skills!A2:A419,Skills!B2:B419),"")</f>
        <v>Presence</v>
      </c>
      <c r="M35" s="163">
        <f t="shared" si="4"/>
        <v>0</v>
      </c>
      <c r="N35" s="157" t="str">
        <f t="shared" si="5"/>
        <v>D20+7</v>
      </c>
      <c r="P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1"/>
        <v>0</v>
      </c>
      <c r="W35">
        <f t="shared" si="12"/>
        <v>0</v>
      </c>
      <c r="X35">
        <f t="shared" si="13"/>
        <v>0</v>
      </c>
      <c r="Y35">
        <f t="shared" si="14"/>
        <v>0</v>
      </c>
      <c r="Z35">
        <f t="shared" si="15"/>
        <v>0</v>
      </c>
      <c r="AA35">
        <f t="shared" si="16"/>
        <v>0</v>
      </c>
      <c r="AB35">
        <f t="shared" si="17"/>
        <v>0</v>
      </c>
      <c r="AC35">
        <f t="shared" si="18"/>
        <v>0</v>
      </c>
      <c r="AD35">
        <f t="shared" si="19"/>
        <v>0</v>
      </c>
      <c r="AE35">
        <f t="shared" si="20"/>
        <v>0</v>
      </c>
      <c r="AF35">
        <f t="shared" si="21"/>
        <v>7</v>
      </c>
    </row>
    <row r="36" spans="1:32" ht="12.75">
      <c r="A36" s="34"/>
      <c r="B36" s="12">
        <f>IF(A36&gt;0,LOOKUP(A36,Melee!A2:A92,Melee!E2:E92),"")</f>
      </c>
      <c r="C36" s="12">
        <f>IF(A36&gt;0,LOOKUP(A36,Melee!A2:A92,Melee!D2:D92),"")</f>
      </c>
      <c r="D36" s="12">
        <f>IF(A36&gt;0,LOOKUP(A36,Melee!A2:A92,Melee!C2:C92),"")</f>
      </c>
      <c r="E36" s="113">
        <f>IF(A36&gt;0,F6,"")</f>
      </c>
      <c r="F36" s="35">
        <f>IF(A36=0,"",IF(E36=0,D36&amp;R21,IF(E36&lt;0,D36&amp;R21&amp;E36,IF(E36&gt;0,D36&amp;S21&amp;E36))))</f>
      </c>
      <c r="G36" s="12"/>
      <c r="H36" s="59" t="s">
        <v>28</v>
      </c>
      <c r="I36" s="4"/>
      <c r="J36" s="10"/>
      <c r="K36" s="10">
        <v>9</v>
      </c>
      <c r="L36" s="163" t="str">
        <f>IF(H36&gt;0,LOOKUP(H36,Skills!A2:A419,Skills!B2:B419),"")</f>
        <v>Agility</v>
      </c>
      <c r="M36" s="163">
        <f>IF(H36&gt;0,P36,"")+1</f>
        <v>7</v>
      </c>
      <c r="N36" s="157" t="str">
        <f t="shared" si="5"/>
        <v>D20+16</v>
      </c>
      <c r="P36">
        <f t="shared" si="6"/>
        <v>6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6</v>
      </c>
      <c r="V36">
        <f t="shared" si="11"/>
        <v>0</v>
      </c>
      <c r="W36">
        <f t="shared" si="12"/>
        <v>0</v>
      </c>
      <c r="X36">
        <f t="shared" si="13"/>
        <v>0</v>
      </c>
      <c r="Y36">
        <f t="shared" si="14"/>
        <v>0</v>
      </c>
      <c r="Z36">
        <f t="shared" si="15"/>
        <v>0</v>
      </c>
      <c r="AA36">
        <f t="shared" si="16"/>
        <v>0</v>
      </c>
      <c r="AB36">
        <f t="shared" si="17"/>
        <v>0</v>
      </c>
      <c r="AC36">
        <f t="shared" si="18"/>
        <v>0</v>
      </c>
      <c r="AD36">
        <f t="shared" si="19"/>
        <v>0</v>
      </c>
      <c r="AE36">
        <f t="shared" si="20"/>
        <v>0</v>
      </c>
      <c r="AF36">
        <f t="shared" si="21"/>
        <v>16</v>
      </c>
    </row>
    <row r="37" spans="1:32" ht="13.5" thickBot="1">
      <c r="A37" s="36"/>
      <c r="B37" s="37">
        <f>IF(A37&gt;0,LOOKUP(A37,Melee!A2:A92,Melee!E2:E92),"")</f>
      </c>
      <c r="C37" s="37">
        <f>IF(A37&gt;0,LOOKUP(A37,Melee!A2:A92,Melee!D2:D92),"")</f>
      </c>
      <c r="D37" s="37">
        <f>IF(A37&gt;0,LOOKUP(A37,Melee!A2:A92,Melee!C2:C92),"")</f>
      </c>
      <c r="E37" s="114">
        <f>IF(A37&gt;0,F6,"")</f>
      </c>
      <c r="F37" s="38">
        <f>IF(A37=0,"",IF(E37=0,D37&amp;R21,IF(E37&lt;0,D37&amp;R21&amp;E37,IF(E37&gt;0,D37&amp;S21&amp;E37))))</f>
      </c>
      <c r="G37" s="12"/>
      <c r="H37" s="29" t="s">
        <v>636</v>
      </c>
      <c r="I37" s="33"/>
      <c r="J37" s="30"/>
      <c r="K37" s="30">
        <v>5</v>
      </c>
      <c r="L37" s="183" t="str">
        <f>IF(H37&gt;0,LOOKUP(H37,Skills!A2:A419,Skills!B2:B419),"")</f>
        <v>Dexterity</v>
      </c>
      <c r="M37" s="183">
        <f t="shared" si="4"/>
        <v>5</v>
      </c>
      <c r="N37" s="158" t="str">
        <f>IF(H37&gt;0,T22&amp;AF37,"")</f>
        <v>D20+10</v>
      </c>
      <c r="P37">
        <f t="shared" si="6"/>
        <v>5</v>
      </c>
      <c r="R37">
        <f t="shared" si="7"/>
        <v>0</v>
      </c>
      <c r="S37">
        <f t="shared" si="8"/>
        <v>0</v>
      </c>
      <c r="T37">
        <f t="shared" si="9"/>
        <v>5</v>
      </c>
      <c r="U37">
        <f t="shared" si="10"/>
        <v>0</v>
      </c>
      <c r="V37">
        <f t="shared" si="11"/>
        <v>0</v>
      </c>
      <c r="W37">
        <f t="shared" si="12"/>
        <v>0</v>
      </c>
      <c r="X37">
        <f t="shared" si="13"/>
        <v>0</v>
      </c>
      <c r="Y37">
        <f t="shared" si="14"/>
        <v>0</v>
      </c>
      <c r="Z37">
        <f t="shared" si="15"/>
        <v>0</v>
      </c>
      <c r="AA37">
        <f t="shared" si="16"/>
        <v>0</v>
      </c>
      <c r="AB37">
        <f t="shared" si="17"/>
        <v>0</v>
      </c>
      <c r="AC37">
        <f t="shared" si="18"/>
        <v>0</v>
      </c>
      <c r="AD37">
        <f t="shared" si="19"/>
        <v>0</v>
      </c>
      <c r="AE37">
        <f t="shared" si="20"/>
        <v>0</v>
      </c>
      <c r="AF37">
        <f t="shared" si="21"/>
        <v>10</v>
      </c>
    </row>
    <row r="38" spans="1:14" ht="13.5" thickBot="1">
      <c r="A38" s="34"/>
      <c r="B38" s="12"/>
      <c r="C38" s="12"/>
      <c r="D38" s="12"/>
      <c r="E38" s="113"/>
      <c r="F38" s="12"/>
      <c r="G38" s="2"/>
      <c r="H38" s="2"/>
      <c r="I38" s="2"/>
      <c r="J38" s="2"/>
      <c r="K38" s="2"/>
      <c r="L38" s="2"/>
      <c r="M38" s="2"/>
      <c r="N38" s="70"/>
    </row>
    <row r="39" spans="1:31" ht="12.75">
      <c r="A39" s="39" t="s">
        <v>71</v>
      </c>
      <c r="B39" s="173" t="s">
        <v>800</v>
      </c>
      <c r="C39" s="173" t="s">
        <v>798</v>
      </c>
      <c r="D39" s="174" t="s">
        <v>126</v>
      </c>
      <c r="E39" s="175" t="s">
        <v>124</v>
      </c>
      <c r="F39" s="173" t="s">
        <v>122</v>
      </c>
      <c r="G39" s="173"/>
      <c r="H39" s="173" t="s">
        <v>124</v>
      </c>
      <c r="I39" s="174" t="s">
        <v>802</v>
      </c>
      <c r="J39" s="175" t="s">
        <v>124</v>
      </c>
      <c r="K39" s="173" t="s">
        <v>123</v>
      </c>
      <c r="L39" s="173" t="s">
        <v>124</v>
      </c>
      <c r="M39" s="174" t="s">
        <v>804</v>
      </c>
      <c r="N39" s="176" t="s">
        <v>124</v>
      </c>
      <c r="R39" s="39" t="s">
        <v>71</v>
      </c>
      <c r="S39" s="173" t="s">
        <v>800</v>
      </c>
      <c r="T39" s="173" t="s">
        <v>798</v>
      </c>
      <c r="U39" s="174" t="s">
        <v>126</v>
      </c>
      <c r="V39" s="175" t="s">
        <v>124</v>
      </c>
      <c r="W39" s="173" t="s">
        <v>122</v>
      </c>
      <c r="X39" s="173"/>
      <c r="Y39" s="173" t="s">
        <v>124</v>
      </c>
      <c r="Z39" s="174" t="s">
        <v>802</v>
      </c>
      <c r="AA39" s="175" t="s">
        <v>124</v>
      </c>
      <c r="AB39" s="173" t="s">
        <v>123</v>
      </c>
      <c r="AC39" s="173" t="s">
        <v>124</v>
      </c>
      <c r="AD39" s="174" t="s">
        <v>804</v>
      </c>
      <c r="AE39" s="176" t="s">
        <v>124</v>
      </c>
    </row>
    <row r="40" spans="1:33" ht="12.75">
      <c r="A40" s="34"/>
      <c r="B40" s="12">
        <f>S40</f>
      </c>
      <c r="C40" s="113">
        <f>IF(A40=0,"",IF(T40="Yes",F6,0))</f>
      </c>
      <c r="D40" s="79">
        <f>U40</f>
      </c>
      <c r="E40" s="77">
        <f>IF($A$40=0,"",IF($C$40=0,V40&amp;$R$21,V40&amp;$S$21&amp;$C$40))</f>
      </c>
      <c r="F40" s="78">
        <f>W40</f>
      </c>
      <c r="G40" s="78"/>
      <c r="H40" s="17">
        <f>IF($A$40=0,"",IF($C$40=0,Y40&amp;$R$21,Y40&amp;$S$21&amp;$C$40))</f>
      </c>
      <c r="I40" s="79">
        <f>Z40</f>
      </c>
      <c r="J40" s="77">
        <f>IF($A$40=0,"",IF($C$40=0,AA40&amp;$R$21,AA40&amp;$S$21&amp;$C$40))</f>
      </c>
      <c r="K40" s="78">
        <f>AB40</f>
      </c>
      <c r="L40" s="17">
        <f>IF($A$40=0,"",IF($C$40=0,AF40&amp;$R$21,AF40&amp;$S$21&amp;$C$40))</f>
      </c>
      <c r="M40" s="79">
        <f>AD40</f>
      </c>
      <c r="N40" s="80">
        <f>IF($A$40=0,"",IF($C$40=0,AG40&amp;$R$21,AG40&amp;$S$21&amp;$C$40))</f>
      </c>
      <c r="R40" s="34">
        <f>A40</f>
        <v>0</v>
      </c>
      <c r="S40" s="12">
        <f>IF(A40&gt;0,LOOKUP(A40,Distance!A2:A13,Distance!D2:D13),"")</f>
      </c>
      <c r="T40" s="113">
        <f>IF(A40&gt;0,F6,"")</f>
      </c>
      <c r="U40" s="79">
        <f>IF(A40&gt;0,LOOKUP(A40,Distance!A2:A13,Distance!E2:E13),"")</f>
      </c>
      <c r="V40" s="77">
        <f>IF(A40&gt;0,Y40+1,"")</f>
      </c>
      <c r="W40" s="78">
        <f>IF(A40&gt;0,LOOKUP(A40,Distance!A2:A13,Distance!F2:F13),"")</f>
      </c>
      <c r="X40" s="78"/>
      <c r="Y40" s="17">
        <f>IF(A40&gt;0,LOOKUP(A40,Distance!A2:A13,Distance!C2:C13),"")</f>
      </c>
      <c r="Z40" s="79">
        <f>IF(A40&gt;0,LOOKUP(A40,Distance!A2:A13,Distance!G2:G13),"")</f>
      </c>
      <c r="AA40" s="77">
        <f>Y40</f>
      </c>
      <c r="AB40" s="78">
        <f>IF(A40&gt;0,LOOKUP(A40,Distance!A2:A13,Distance!H2:H13),"")</f>
      </c>
      <c r="AC40" s="17">
        <f>IF(A40&gt;0,Y40*0.75,"")</f>
      </c>
      <c r="AD40" s="79">
        <f>IF(A40&gt;0,LOOKUP(A40,Distance!A2:A13,Distance!I2:I13),"")</f>
      </c>
      <c r="AE40" s="80">
        <f>IF(A40&gt;0,Y40*0.5,"")</f>
      </c>
      <c r="AF40" t="e">
        <f>FIXED(AC40,0)</f>
        <v>#VALUE!</v>
      </c>
      <c r="AG40" t="e">
        <f>FIXED(AE40,0)</f>
        <v>#VALUE!</v>
      </c>
    </row>
    <row r="41" spans="1:33" ht="12.75">
      <c r="A41" s="53"/>
      <c r="B41" s="13">
        <f>S41</f>
      </c>
      <c r="C41" s="110">
        <f>IF(A41=0,"",IF(T41="Yes",F7,0))</f>
      </c>
      <c r="D41" s="81">
        <f>U41</f>
      </c>
      <c r="E41" s="82">
        <f>IF($A$41=0,"",IF($C$41=0,V41&amp;$R$21,V41&amp;$S$21&amp;$C$41))</f>
      </c>
      <c r="F41" s="83">
        <f>W41</f>
      </c>
      <c r="G41" s="83"/>
      <c r="H41" s="84">
        <f>IF($A$41=0,"",IF($C$41=0,Y41&amp;$R$21,Y41&amp;$S$21&amp;$C$41))</f>
      </c>
      <c r="I41" s="85">
        <f>Z41</f>
      </c>
      <c r="J41" s="82">
        <f>IF($A$41=0,"",IF($C$41=0,AA41&amp;$R$21,AA41&amp;$S$21&amp;$C$41))</f>
      </c>
      <c r="K41" s="84">
        <f>AB41</f>
      </c>
      <c r="L41" s="84">
        <f>IF($A$41=0,"",IF($C$41=0,AF41&amp;$R$21,AF41&amp;$S$21&amp;$C$41))</f>
      </c>
      <c r="M41" s="81">
        <f>AD41</f>
      </c>
      <c r="N41" s="86">
        <f>IF($A$41=0,"",IF($C$41=0,AG41&amp;$R$21,AG41&amp;$S$21&amp;$C$41))</f>
      </c>
      <c r="R41" s="53">
        <f>A41</f>
        <v>0</v>
      </c>
      <c r="S41" s="13">
        <f>IF(A41&gt;0,LOOKUP(A41,Distance!A2:A13,Distance!D2:D13),"")</f>
      </c>
      <c r="T41" s="110">
        <f>IF(A41&gt;0,F6,"")</f>
      </c>
      <c r="U41" s="81">
        <f>IF(A41&gt;0,LOOKUP(A41,Distance!A2:A13,Distance!E2:E13),"")</f>
      </c>
      <c r="V41" s="82">
        <f>IF(A41&gt;0,Y41+1,"")</f>
      </c>
      <c r="W41" s="83">
        <f>IF(A41&gt;0,LOOKUP(A41,Distance!A2:A13,Distance!F2:F13),"")</f>
      </c>
      <c r="X41" s="83"/>
      <c r="Y41" s="84">
        <f>IF(A41&gt;0,LOOKUP(A41,Distance!A2:A13,Distance!C2:C13),"")</f>
      </c>
      <c r="Z41" s="85">
        <f>IF(A41&gt;0,LOOKUP(A41,Distance!A2:A13,Distance!G2:G13),"")</f>
      </c>
      <c r="AA41" s="82">
        <f>Y41</f>
      </c>
      <c r="AB41" s="84">
        <f>IF(A41&gt;0,LOOKUP(A41,Distance!A2:A13,Distance!H2:H13),"")</f>
      </c>
      <c r="AC41" s="82">
        <f>IF(A41&gt;0,Y41*0.75,"")</f>
      </c>
      <c r="AD41" s="81">
        <f>IF(A41&gt;0,LOOKUP(A41,Distance!A2:A13,Distance!I2:I13),"")</f>
      </c>
      <c r="AE41" s="86">
        <f>IF(A41&gt;0,Y41*0.5,"")</f>
      </c>
      <c r="AF41" t="e">
        <f>FIXED(AC41,0)</f>
        <v>#VALUE!</v>
      </c>
      <c r="AG41" t="e">
        <f>FIXED(AE41,0)</f>
        <v>#VALUE!</v>
      </c>
    </row>
    <row r="42" spans="1:33" ht="12.75">
      <c r="A42" s="34"/>
      <c r="B42" s="12">
        <f>S42</f>
      </c>
      <c r="C42" s="113">
        <f>IF(A42=0,"",IF(T42="Yes",F8,0))</f>
      </c>
      <c r="D42" s="63">
        <f>U42</f>
      </c>
      <c r="E42" s="77">
        <f>IF($A$42=0,"",IF($C$42=0,V42&amp;$R$21,V42&amp;$S$21&amp;$C$42))</f>
      </c>
      <c r="F42" s="17">
        <f>W42</f>
      </c>
      <c r="G42" s="17"/>
      <c r="H42" s="17">
        <f>IF($A$42=0,"",IF($C$42=0,Y42&amp;$R$21,Y42&amp;$S$21&amp;$C$42))</f>
      </c>
      <c r="I42" s="63">
        <f>Z42</f>
      </c>
      <c r="J42" s="77">
        <f>IF($A$42=0,"",IF($C$42=0,AA42&amp;$R$21,AA42&amp;$S$21&amp;$C$42))</f>
      </c>
      <c r="K42" s="17">
        <f>AB42</f>
      </c>
      <c r="L42" s="17">
        <f>IF($A$42=0,"",IF($C$42=0,AF42&amp;$R$21,AF42&amp;$S$21&amp;$C$42))</f>
      </c>
      <c r="M42" s="63">
        <f>AD42</f>
      </c>
      <c r="N42" s="80">
        <f>IF($A$42=0,"",IF($C$42=0,AG42&amp;$R$21,AG2&amp;$S$21&amp;$C$42))</f>
      </c>
      <c r="R42" s="34">
        <f>A42</f>
        <v>0</v>
      </c>
      <c r="S42" s="12">
        <f>IF(A42&gt;0,LOOKUP(A42,Distance!A2:A13,Distance!D2:D13),"")</f>
      </c>
      <c r="T42" s="113">
        <f>IF(A42&gt;0,F6,"")</f>
      </c>
      <c r="U42" s="63">
        <f>IF(A42&gt;0,LOOKUP(A42,Distance!A2:A13,Distance!E2:E13),"")</f>
      </c>
      <c r="V42" s="77">
        <f>IF(A42&gt;0,Y42+1,"")</f>
      </c>
      <c r="W42" s="17">
        <f>IF(A42&gt;0,LOOKUP(A42,Distance!A2:A13,Distance!F2:F13),"")</f>
      </c>
      <c r="X42" s="17"/>
      <c r="Y42" s="17">
        <f>IF(A42&gt;0,LOOKUP(A42,Distance!A2:A13,Distance!C2:C13),"")</f>
      </c>
      <c r="Z42" s="63">
        <f>IF(A42&gt;0,LOOKUP(A42,Distance!A2:A13,Distance!G2:G13),"")</f>
      </c>
      <c r="AA42" s="77">
        <f>Y42</f>
      </c>
      <c r="AB42" s="17">
        <f>IF(A42&gt;0,LOOKUP(A42,Distance!A2:A13,Distance!H2:H13),"")</f>
      </c>
      <c r="AC42" s="17">
        <f>IF(A42&gt;0,Y42*0.75,"")</f>
      </c>
      <c r="AD42" s="63">
        <f>IF(A42&gt;0,LOOKUP(A42,Distance!A2:A13,Distance!I2:I13),"")</f>
      </c>
      <c r="AE42" s="80">
        <f>IF(A42&gt;0,Y42*0.5,"")</f>
      </c>
      <c r="AF42" t="e">
        <f>FIXED(AC42,0)</f>
        <v>#VALUE!</v>
      </c>
      <c r="AG42" t="e">
        <f>FIXED(AE42,0)</f>
        <v>#VALUE!</v>
      </c>
    </row>
    <row r="43" spans="1:33" ht="13.5" thickBot="1">
      <c r="A43" s="36"/>
      <c r="B43" s="37">
        <f>S43</f>
      </c>
      <c r="C43" s="114">
        <f>IF(A43=0,"",IF(T43="Yes",F9,0))</f>
      </c>
      <c r="D43" s="87">
        <f>U43</f>
      </c>
      <c r="E43" s="88">
        <f>IF($A$43=0,"",IF($C$43=0,V43&amp;$R$21,V43&amp;$S$21&amp;$C$43))</f>
      </c>
      <c r="F43" s="89">
        <f>W43</f>
      </c>
      <c r="G43" s="89"/>
      <c r="H43" s="89">
        <f>IF($A$43=0,"",IF($C$43=0,Y43&amp;$R$21,Y43&amp;$S$21&amp;$C$43))</f>
      </c>
      <c r="I43" s="87">
        <f>Z43</f>
      </c>
      <c r="J43" s="88">
        <f>IF($A$43=0,"",IF($C$43=0,AA43&amp;$R$21,AA43&amp;$S$21&amp;$C$43))</f>
      </c>
      <c r="K43" s="89">
        <f>AB43</f>
      </c>
      <c r="L43" s="89">
        <f>IF($A$43=0,"",IF($C$43=0,AC43&amp;$R$21,AC43&amp;$S$21&amp;$C$43))</f>
      </c>
      <c r="M43" s="87">
        <f>AD43</f>
      </c>
      <c r="N43" s="90">
        <f>IF($A$43=0,"",IF($C$43=0,AG43&amp;$R$21,AG43&amp;$S$21&amp;$C$43))</f>
      </c>
      <c r="R43" s="36">
        <f>A43</f>
        <v>0</v>
      </c>
      <c r="S43" s="37">
        <f>IF(A43&gt;0,LOOKUP(A43,Distance!A2:A13,Distance!D2:D13),"")</f>
      </c>
      <c r="T43" s="114">
        <f>IF(A43&gt;0,F6,"")</f>
      </c>
      <c r="U43" s="87">
        <f>IF(A43&gt;0,LOOKUP(A43,Distance!A2:A13,Distance!E2:E13),"")</f>
      </c>
      <c r="V43" s="88">
        <f>IF(A43&gt;0,Y43+1,"")</f>
      </c>
      <c r="W43" s="89">
        <f>IF(A43&gt;0,LOOKUP(A43,Distance!A2:A13,Distance!F2:F13),"")</f>
      </c>
      <c r="X43" s="89"/>
      <c r="Y43" s="89">
        <f>IF(A43&gt;0,LOOKUP(A43,Distance!A2:A13,Distance!C2:C13),"")</f>
      </c>
      <c r="Z43" s="87">
        <f>IF(A43&gt;0,LOOKUP(A43,Distance!A2:A13,Distance!G2:G13),"")</f>
      </c>
      <c r="AA43" s="88">
        <f>Y43</f>
      </c>
      <c r="AB43" s="89">
        <f>IF(A43&gt;0,LOOKUP(A43,Distance!A2:A13,Distance!H2:H13),"")</f>
      </c>
      <c r="AC43" s="89">
        <f>IF(A43&gt;0,Y43*0.75,"")</f>
      </c>
      <c r="AD43" s="87">
        <f>IF(A43&gt;0,LOOKUP(A43,Distance!A2:A13,Distance!I2:I13),"")</f>
      </c>
      <c r="AE43" s="90">
        <f>IF(A43&gt;0,Y43*0.5,"")</f>
      </c>
      <c r="AF43" t="e">
        <f>FIXED(AC43,0)</f>
        <v>#VALUE!</v>
      </c>
      <c r="AG43" t="e">
        <f>FIXED(AE43,0)</f>
        <v>#VALUE!</v>
      </c>
    </row>
    <row r="44" spans="1:31" ht="13.5" thickBot="1">
      <c r="A44" s="34"/>
      <c r="B44" s="11"/>
      <c r="C44" s="11"/>
      <c r="D44" s="91"/>
      <c r="E44" s="91"/>
      <c r="F44" s="91"/>
      <c r="G44" s="91"/>
      <c r="H44" s="91"/>
      <c r="I44" s="91"/>
      <c r="J44" s="91"/>
      <c r="K44" s="17"/>
      <c r="L44" s="91"/>
      <c r="M44" s="91"/>
      <c r="N44" s="92"/>
      <c r="R44" s="34"/>
      <c r="S44" s="11"/>
      <c r="T44" s="11"/>
      <c r="U44" s="91"/>
      <c r="V44" s="91"/>
      <c r="W44" s="91"/>
      <c r="X44" s="91"/>
      <c r="Y44" s="91"/>
      <c r="Z44" s="91"/>
      <c r="AA44" s="91"/>
      <c r="AB44" s="17"/>
      <c r="AC44" s="91"/>
      <c r="AD44" s="91"/>
      <c r="AE44" s="92"/>
    </row>
    <row r="45" spans="1:31" ht="12.75">
      <c r="A45" s="39" t="s">
        <v>125</v>
      </c>
      <c r="B45" s="173" t="s">
        <v>800</v>
      </c>
      <c r="C45" s="173" t="s">
        <v>801</v>
      </c>
      <c r="D45" s="177" t="s">
        <v>126</v>
      </c>
      <c r="E45" s="178" t="s">
        <v>124</v>
      </c>
      <c r="F45" s="179" t="s">
        <v>122</v>
      </c>
      <c r="G45" s="179"/>
      <c r="H45" s="179" t="s">
        <v>124</v>
      </c>
      <c r="I45" s="177" t="s">
        <v>803</v>
      </c>
      <c r="J45" s="178" t="s">
        <v>124</v>
      </c>
      <c r="K45" s="179" t="s">
        <v>123</v>
      </c>
      <c r="L45" s="179" t="s">
        <v>124</v>
      </c>
      <c r="M45" s="177" t="s">
        <v>804</v>
      </c>
      <c r="N45" s="180" t="s">
        <v>124</v>
      </c>
      <c r="R45" s="39" t="s">
        <v>125</v>
      </c>
      <c r="S45" s="173" t="s">
        <v>800</v>
      </c>
      <c r="T45" s="173" t="s">
        <v>801</v>
      </c>
      <c r="U45" s="177" t="s">
        <v>126</v>
      </c>
      <c r="V45" s="178" t="s">
        <v>124</v>
      </c>
      <c r="W45" s="179" t="s">
        <v>122</v>
      </c>
      <c r="X45" s="179"/>
      <c r="Y45" s="179" t="s">
        <v>124</v>
      </c>
      <c r="Z45" s="177" t="s">
        <v>803</v>
      </c>
      <c r="AA45" s="178" t="s">
        <v>124</v>
      </c>
      <c r="AB45" s="179" t="s">
        <v>123</v>
      </c>
      <c r="AC45" s="179" t="s">
        <v>124</v>
      </c>
      <c r="AD45" s="177" t="s">
        <v>804</v>
      </c>
      <c r="AE45" s="180" t="s">
        <v>124</v>
      </c>
    </row>
    <row r="46" spans="1:33" ht="12.75">
      <c r="A46" s="41" t="s">
        <v>954</v>
      </c>
      <c r="B46" s="14">
        <f aca="true" t="shared" si="22" ref="B46:M51">S46</f>
        <v>15</v>
      </c>
      <c r="C46" s="14" t="str">
        <f t="shared" si="22"/>
        <v>Full Auto 20</v>
      </c>
      <c r="D46" s="79" t="str">
        <f t="shared" si="22"/>
        <v>0-2</v>
      </c>
      <c r="E46" s="77" t="str">
        <f aca="true" t="shared" si="23" ref="E46:E51">IF(A46=0,"",V46&amp;$R$21)</f>
        <v>7D6</v>
      </c>
      <c r="F46" s="78" t="str">
        <f t="shared" si="22"/>
        <v>3-5</v>
      </c>
      <c r="G46" s="78"/>
      <c r="H46" s="17" t="str">
        <f aca="true" t="shared" si="24" ref="H46:H51">IF(A46=0,"",Y46&amp;$R$21)</f>
        <v>6D6</v>
      </c>
      <c r="I46" s="79" t="str">
        <f t="shared" si="22"/>
        <v>6-15</v>
      </c>
      <c r="J46" s="77" t="str">
        <f aca="true" t="shared" si="25" ref="J46:J51">IF(A46=0,"",AA46&amp;$R$21)</f>
        <v>6D6</v>
      </c>
      <c r="K46" s="78" t="str">
        <f t="shared" si="22"/>
        <v>16-30</v>
      </c>
      <c r="L46" s="17" t="str">
        <f aca="true" t="shared" si="26" ref="L46:L51">IF(A46=0,"",AF46&amp;$R$21)</f>
        <v>5D6</v>
      </c>
      <c r="M46" s="79" t="str">
        <f t="shared" si="22"/>
        <v>31-50</v>
      </c>
      <c r="N46" s="80" t="str">
        <f aca="true" t="shared" si="27" ref="N46:N51">IF(A46=0,"",AG46&amp;$R$21)</f>
        <v>3D6</v>
      </c>
      <c r="R46" s="41" t="str">
        <f aca="true" t="shared" si="28" ref="R46:R51">A46</f>
        <v>Gauss Pistol 4mm</v>
      </c>
      <c r="S46" s="14">
        <f>IF(A46&gt;0,LOOKUP(A46,Firearms!A2:Firearms!A253,Firearms!C2:C253),"")</f>
        <v>15</v>
      </c>
      <c r="T46" s="14" t="str">
        <f>IF(A46&gt;0,LOOKUP(A46,Firearms!A2:Firearms!A253,Firearms!D2:D253),"")</f>
        <v>Full Auto 20</v>
      </c>
      <c r="U46" s="79" t="str">
        <f>IF(A46&gt;0,LOOKUP(A46,Firearms!A2:Firearms!A253,Firearms!E2:E253),"")</f>
        <v>0-2</v>
      </c>
      <c r="V46" s="77">
        <f aca="true" t="shared" si="29" ref="V46:V51">IF(A46&gt;0,Y46+1,"")</f>
        <v>7</v>
      </c>
      <c r="W46" s="78" t="str">
        <f>IF(A46&gt;0,LOOKUP(A46,Firearms!A2:Firearms!A253,Firearms!F2:F253),"")</f>
        <v>3-5</v>
      </c>
      <c r="X46" s="78"/>
      <c r="Y46" s="17">
        <f>IF(A46&gt;0,LOOKUP(A46,Firearms!A2:Firearms!A253,Firearms!B2:B253),"")</f>
        <v>6</v>
      </c>
      <c r="Z46" s="79" t="str">
        <f>IF(A46&gt;0,LOOKUP(A46,Firearms!A2:Firearms!A253,Firearms!G2:G253),"")</f>
        <v>6-15</v>
      </c>
      <c r="AA46" s="77">
        <f aca="true" t="shared" si="30" ref="AA46:AA51">Y46</f>
        <v>6</v>
      </c>
      <c r="AB46" s="78" t="str">
        <f>IF(A46&gt;0,LOOKUP(A46,Firearms!A2:Firearms!A253,Firearms!H2:H253),"")</f>
        <v>16-30</v>
      </c>
      <c r="AC46" s="17">
        <f aca="true" t="shared" si="31" ref="AC46:AC51">IF(A46&gt;0,Y46*0.75,"")</f>
        <v>4.5</v>
      </c>
      <c r="AD46" s="79" t="str">
        <f>IF(A46&gt;0,LOOKUP(A46,Firearms!A2:Firearms!A253,Firearms!I2:I253),"")</f>
        <v>31-50</v>
      </c>
      <c r="AE46" s="80">
        <f aca="true" t="shared" si="32" ref="AE46:AE51">IF(A46&gt;0,Y46*0.5,"")</f>
        <v>3</v>
      </c>
      <c r="AF46" t="str">
        <f aca="true" t="shared" si="33" ref="AF46:AF51">FIXED(AC46,0)</f>
        <v>5</v>
      </c>
      <c r="AG46" t="str">
        <f aca="true" t="shared" si="34" ref="AG46:AG51">FIXED(AE46,0)</f>
        <v>3</v>
      </c>
    </row>
    <row r="47" spans="1:33" ht="12.75">
      <c r="A47" s="55" t="s">
        <v>834</v>
      </c>
      <c r="B47" s="15">
        <f t="shared" si="22"/>
        <v>5</v>
      </c>
      <c r="C47" s="15" t="str">
        <f t="shared" si="22"/>
        <v>Full Auto 50</v>
      </c>
      <c r="D47" s="85" t="str">
        <f t="shared" si="22"/>
        <v>0-5</v>
      </c>
      <c r="E47" s="82" t="str">
        <f t="shared" si="23"/>
        <v>10D6</v>
      </c>
      <c r="F47" s="83" t="str">
        <f t="shared" si="22"/>
        <v>6-15</v>
      </c>
      <c r="G47" s="83"/>
      <c r="H47" s="84" t="str">
        <f t="shared" si="24"/>
        <v>9D6</v>
      </c>
      <c r="I47" s="85" t="str">
        <f t="shared" si="22"/>
        <v>16-40</v>
      </c>
      <c r="J47" s="82" t="str">
        <f t="shared" si="25"/>
        <v>9D6</v>
      </c>
      <c r="K47" s="83" t="str">
        <f t="shared" si="22"/>
        <v>41-100</v>
      </c>
      <c r="L47" s="84" t="str">
        <f t="shared" si="26"/>
        <v>7D6</v>
      </c>
      <c r="M47" s="85" t="str">
        <f t="shared" si="22"/>
        <v>101-250</v>
      </c>
      <c r="N47" s="86" t="str">
        <f t="shared" si="27"/>
        <v>5D6</v>
      </c>
      <c r="R47" s="55" t="str">
        <f t="shared" si="28"/>
        <v>Gauss Rifle 4mm</v>
      </c>
      <c r="S47" s="15">
        <f>IF(A47&gt;0,LOOKUP(A47,Firearms!A2:A253,Firearms!C2:C253),"")</f>
        <v>5</v>
      </c>
      <c r="T47" s="15" t="str">
        <f>IF(A47&gt;0,LOOKUP(A47,Firearms!A2:Firearms!A253,Firearms!D2:D253),"")</f>
        <v>Full Auto 50</v>
      </c>
      <c r="U47" s="85" t="str">
        <f>IF(A47&gt;0,LOOKUP(A47,Firearms!A2:Firearms!A253,Firearms!E2:E253),"")</f>
        <v>0-5</v>
      </c>
      <c r="V47" s="82">
        <f t="shared" si="29"/>
        <v>10</v>
      </c>
      <c r="W47" s="83" t="str">
        <f>IF(A47&gt;0,LOOKUP(A47,Firearms!A2:Firearms!A253,Firearms!F2:F253),"")</f>
        <v>6-15</v>
      </c>
      <c r="X47" s="83"/>
      <c r="Y47" s="84">
        <f>IF(A47&gt;0,LOOKUP(A47,Firearms!A2:Firearms!A253,Firearms!B2:B253),"")</f>
        <v>9</v>
      </c>
      <c r="Z47" s="85" t="str">
        <f>IF(A47&gt;0,LOOKUP(A47,Firearms!A2:Firearms!A253,Firearms!G2:G253),"")</f>
        <v>16-40</v>
      </c>
      <c r="AA47" s="82">
        <f t="shared" si="30"/>
        <v>9</v>
      </c>
      <c r="AB47" s="83" t="str">
        <f>IF(A47&gt;0,LOOKUP(A47,Firearms!A2:Firearms!A253,Firearms!H2:H253),"")</f>
        <v>41-100</v>
      </c>
      <c r="AC47" s="84">
        <f t="shared" si="31"/>
        <v>6.75</v>
      </c>
      <c r="AD47" s="85" t="str">
        <f>IF(A47&gt;0,LOOKUP(A47,Firearms!A2:Firearms!A253,Firearms!I2:I253),"")</f>
        <v>101-250</v>
      </c>
      <c r="AE47" s="86">
        <f t="shared" si="32"/>
        <v>4.5</v>
      </c>
      <c r="AF47" t="str">
        <f t="shared" si="33"/>
        <v>7</v>
      </c>
      <c r="AG47" t="str">
        <f t="shared" si="34"/>
        <v>5</v>
      </c>
    </row>
    <row r="48" spans="1:33" ht="12.75">
      <c r="A48" s="41"/>
      <c r="B48" s="14">
        <f t="shared" si="22"/>
      </c>
      <c r="C48" s="14">
        <f t="shared" si="22"/>
      </c>
      <c r="D48" s="63">
        <f t="shared" si="22"/>
      </c>
      <c r="E48" s="77">
        <f t="shared" si="23"/>
      </c>
      <c r="F48" s="17">
        <f t="shared" si="22"/>
      </c>
      <c r="G48" s="17"/>
      <c r="H48" s="17">
        <f t="shared" si="24"/>
      </c>
      <c r="I48" s="63">
        <f t="shared" si="22"/>
      </c>
      <c r="J48" s="77">
        <f t="shared" si="25"/>
      </c>
      <c r="K48" s="17">
        <f t="shared" si="22"/>
      </c>
      <c r="L48" s="17">
        <f t="shared" si="26"/>
      </c>
      <c r="M48" s="63">
        <f t="shared" si="22"/>
      </c>
      <c r="N48" s="80">
        <f t="shared" si="27"/>
      </c>
      <c r="R48" s="41">
        <f t="shared" si="28"/>
        <v>0</v>
      </c>
      <c r="S48" s="14">
        <f>IF(A48&gt;0,LOOKUP(A48,Firearms!A2:Firearms!A253,Firearms!C2:C253),"")</f>
      </c>
      <c r="T48" s="14">
        <f>IF(A48&gt;0,LOOKUP(A48,Firearms!A2:Firearms!A253,Firearms!D2:D253),"")</f>
      </c>
      <c r="U48" s="63">
        <f>IF(A48&gt;0,LOOKUP(A48,Firearms!A2:Firearms!A253,Firearms!E2:E253),"")</f>
      </c>
      <c r="V48" s="77">
        <f t="shared" si="29"/>
      </c>
      <c r="W48" s="17">
        <f>IF(A48&gt;0,LOOKUP(A48,Firearms!A2:Firearms!A253,Firearms!F2:F253),"")</f>
      </c>
      <c r="X48" s="17"/>
      <c r="Y48" s="17">
        <f>IF(A48&gt;0,LOOKUP(A48,Firearms!A2:Firearms!A253,Firearms!B2:B253),"")</f>
      </c>
      <c r="Z48" s="63">
        <f>IF(A48&gt;0,LOOKUP(A48,Firearms!A2:Firearms!A253,Firearms!G2:G253),"")</f>
      </c>
      <c r="AA48" s="77">
        <f t="shared" si="30"/>
      </c>
      <c r="AB48" s="17">
        <f>IF(A48&gt;0,LOOKUP(A48,Firearms!A2:Firearms!A253,Firearms!H2:H253),"")</f>
      </c>
      <c r="AC48" s="17">
        <f t="shared" si="31"/>
      </c>
      <c r="AD48" s="63">
        <f>IF(A48&gt;0,LOOKUP(A48,Firearms!A2:Firearms!A253,Firearms!I2:I253),"")</f>
      </c>
      <c r="AE48" s="80">
        <f t="shared" si="32"/>
      </c>
      <c r="AF48" t="e">
        <f t="shared" si="33"/>
        <v>#VALUE!</v>
      </c>
      <c r="AG48" t="e">
        <f t="shared" si="34"/>
        <v>#VALUE!</v>
      </c>
    </row>
    <row r="49" spans="1:33" ht="12.75">
      <c r="A49" s="55"/>
      <c r="B49" s="15">
        <f t="shared" si="22"/>
      </c>
      <c r="C49" s="15">
        <f t="shared" si="22"/>
      </c>
      <c r="D49" s="81">
        <f t="shared" si="22"/>
      </c>
      <c r="E49" s="82">
        <f t="shared" si="23"/>
      </c>
      <c r="F49" s="84">
        <f t="shared" si="22"/>
      </c>
      <c r="G49" s="84"/>
      <c r="H49" s="84">
        <f t="shared" si="24"/>
      </c>
      <c r="I49" s="81">
        <f t="shared" si="22"/>
      </c>
      <c r="J49" s="82">
        <f t="shared" si="25"/>
      </c>
      <c r="K49" s="84">
        <f t="shared" si="22"/>
      </c>
      <c r="L49" s="84">
        <f t="shared" si="26"/>
      </c>
      <c r="M49" s="81">
        <f t="shared" si="22"/>
      </c>
      <c r="N49" s="86">
        <f t="shared" si="27"/>
      </c>
      <c r="R49" s="55">
        <f t="shared" si="28"/>
        <v>0</v>
      </c>
      <c r="S49" s="15">
        <f>IF(A49&gt;0,LOOKUP(A49,Firearms!A2:Firearms!A253,Firearms!C2:C253),"")</f>
      </c>
      <c r="T49" s="15">
        <f>IF(A49&gt;0,LOOKUP(A49,Firearms!A2:Firearms!A253,Firearms!D2:D253),"")</f>
      </c>
      <c r="U49" s="81">
        <f>IF(A49&gt;0,LOOKUP(A49,Firearms!A2:Firearms!A253,Firearms!E2:E253),"")</f>
      </c>
      <c r="V49" s="82">
        <f t="shared" si="29"/>
      </c>
      <c r="W49" s="84">
        <f>IF(A49&gt;0,LOOKUP(A49,Firearms!A2:Firearms!A253,Firearms!F2:F253),"")</f>
      </c>
      <c r="X49" s="84"/>
      <c r="Y49" s="84">
        <f>IF(A49&gt;0,LOOKUP(A49,Firearms!A2:Firearms!A253,Firearms!B2:B253),"")</f>
      </c>
      <c r="Z49" s="81">
        <f>IF(A49&gt;0,LOOKUP(A49,Firearms!A2:Firearms!A253,Firearms!G2:G253),"")</f>
      </c>
      <c r="AA49" s="82">
        <f t="shared" si="30"/>
      </c>
      <c r="AB49" s="84">
        <f>IF(A49&gt;0,LOOKUP(A49,Firearms!A2:Firearms!A253,Firearms!H2:H253),"")</f>
      </c>
      <c r="AC49" s="84">
        <f t="shared" si="31"/>
      </c>
      <c r="AD49" s="81">
        <f>IF(A49&gt;0,LOOKUP(A49,Firearms!A2:Firearms!A253,Firearms!I2:I253),"")</f>
      </c>
      <c r="AE49" s="86">
        <f t="shared" si="32"/>
      </c>
      <c r="AF49" t="e">
        <f t="shared" si="33"/>
        <v>#VALUE!</v>
      </c>
      <c r="AG49" t="e">
        <f t="shared" si="34"/>
        <v>#VALUE!</v>
      </c>
    </row>
    <row r="50" spans="1:33" ht="12.75">
      <c r="A50" s="41"/>
      <c r="B50" s="14">
        <f t="shared" si="22"/>
      </c>
      <c r="C50" s="14">
        <f t="shared" si="22"/>
      </c>
      <c r="D50" s="63">
        <f t="shared" si="22"/>
      </c>
      <c r="E50" s="77">
        <f t="shared" si="23"/>
      </c>
      <c r="F50" s="17">
        <f t="shared" si="22"/>
      </c>
      <c r="G50" s="17"/>
      <c r="H50" s="17">
        <f t="shared" si="24"/>
      </c>
      <c r="I50" s="63">
        <f t="shared" si="22"/>
      </c>
      <c r="J50" s="77">
        <f t="shared" si="25"/>
      </c>
      <c r="K50" s="17">
        <f t="shared" si="22"/>
      </c>
      <c r="L50" s="17">
        <f t="shared" si="26"/>
      </c>
      <c r="M50" s="63">
        <f t="shared" si="22"/>
      </c>
      <c r="N50" s="80">
        <f t="shared" si="27"/>
      </c>
      <c r="R50" s="41">
        <f t="shared" si="28"/>
        <v>0</v>
      </c>
      <c r="S50" s="14">
        <f>IF(A50&gt;0,LOOKUP(A50,Firearms!A2:Firearms!A253,Firearms!C2:C253),"")</f>
      </c>
      <c r="T50" s="14">
        <f>IF(A50&gt;0,LOOKUP(A50,Firearms!A2:Firearms!A253,Firearms!D2:D253),"")</f>
      </c>
      <c r="U50" s="63">
        <f>IF(A50&gt;0,LOOKUP(A50,Firearms!A2:Firearms!A253,Firearms!E2:E253),"")</f>
      </c>
      <c r="V50" s="77">
        <f t="shared" si="29"/>
      </c>
      <c r="W50" s="17">
        <f>IF(A50&gt;0,LOOKUP(A50,Firearms!A2:Firearms!A253,Firearms!F2:F253),"")</f>
      </c>
      <c r="X50" s="17"/>
      <c r="Y50" s="17">
        <f>IF(A50&gt;0,LOOKUP(A50,Firearms!A2:Firearms!A253,Firearms!B2:B253),"")</f>
      </c>
      <c r="Z50" s="63">
        <f>IF(A50&gt;0,LOOKUP(A50,Firearms!A2:Firearms!A253,Firearms!G2:G253),"")</f>
      </c>
      <c r="AA50" s="77">
        <f t="shared" si="30"/>
      </c>
      <c r="AB50" s="17">
        <f>IF(A50&gt;0,LOOKUP(A50,Firearms!A2:Firearms!A253,Firearms!H2:H253),"")</f>
      </c>
      <c r="AC50" s="17">
        <f t="shared" si="31"/>
      </c>
      <c r="AD50" s="63">
        <f>IF(A50&gt;0,LOOKUP(A50,Firearms!A2:Firearms!A253,Firearms!I2:I253),"")</f>
      </c>
      <c r="AE50" s="80">
        <f t="shared" si="32"/>
      </c>
      <c r="AF50" t="e">
        <f t="shared" si="33"/>
        <v>#VALUE!</v>
      </c>
      <c r="AG50" t="e">
        <f t="shared" si="34"/>
        <v>#VALUE!</v>
      </c>
    </row>
    <row r="51" spans="1:33" ht="13.5" thickBot="1">
      <c r="A51" s="42"/>
      <c r="B51" s="40">
        <f t="shared" si="22"/>
      </c>
      <c r="C51" s="40">
        <f t="shared" si="22"/>
      </c>
      <c r="D51" s="87">
        <f t="shared" si="22"/>
      </c>
      <c r="E51" s="88">
        <f t="shared" si="23"/>
      </c>
      <c r="F51" s="89">
        <f t="shared" si="22"/>
      </c>
      <c r="G51" s="89"/>
      <c r="H51" s="89">
        <f t="shared" si="24"/>
      </c>
      <c r="I51" s="87">
        <f t="shared" si="22"/>
      </c>
      <c r="J51" s="88">
        <f t="shared" si="25"/>
      </c>
      <c r="K51" s="89">
        <f t="shared" si="22"/>
      </c>
      <c r="L51" s="89">
        <f t="shared" si="26"/>
      </c>
      <c r="M51" s="87">
        <f t="shared" si="22"/>
      </c>
      <c r="N51" s="90">
        <f t="shared" si="27"/>
      </c>
      <c r="R51" s="42">
        <f t="shared" si="28"/>
        <v>0</v>
      </c>
      <c r="S51" s="40">
        <f>IF(A51&gt;0,LOOKUP(A51,Firearms!A2:Firearms!A253,Firearms!C2:C253),"")</f>
      </c>
      <c r="T51" s="40">
        <f>IF(A51&gt;0,LOOKUP(A51,Firearms!A2:Firearms!A253,Firearms!D2:D253),"")</f>
      </c>
      <c r="U51" s="87">
        <f>IF(A51&gt;0,LOOKUP(A51,Firearms!A2:Firearms!A253,Firearms!E2:E253),"")</f>
      </c>
      <c r="V51" s="88">
        <f t="shared" si="29"/>
      </c>
      <c r="W51" s="89">
        <f>IF(A51&gt;0,LOOKUP(A51,Firearms!A2:Firearms!A253,Firearms!F2:F253),"")</f>
      </c>
      <c r="X51" s="89"/>
      <c r="Y51" s="89">
        <f>IF(A51&gt;0,LOOKUP(A51,Firearms!A2:Firearms!A253,Firearms!B2:B253),"")</f>
      </c>
      <c r="Z51" s="87">
        <f>IF(A51&gt;0,LOOKUP(A51,Firearms!A2:Firearms!A253,Firearms!G2:G253),"")</f>
      </c>
      <c r="AA51" s="88">
        <f t="shared" si="30"/>
      </c>
      <c r="AB51" s="89">
        <f>IF(A51&gt;0,LOOKUP(A51,Firearms!A2:Firearms!A253,Firearms!H2:H253),"")</f>
      </c>
      <c r="AC51" s="89">
        <f t="shared" si="31"/>
      </c>
      <c r="AD51" s="87">
        <f>IF(A51&gt;0,LOOKUP(A51,Firearms!A2:Firearms!A253,Firearms!I2:I253),"")</f>
      </c>
      <c r="AE51" s="90">
        <f t="shared" si="32"/>
      </c>
      <c r="AF51" t="e">
        <f t="shared" si="33"/>
        <v>#VALUE!</v>
      </c>
      <c r="AG51" t="e">
        <f t="shared" si="34"/>
        <v>#VALUE!</v>
      </c>
    </row>
  </sheetData>
  <printOptions/>
  <pageMargins left="0.5" right="0.5" top="0.5" bottom="0.5" header="0" footer="0"/>
  <pageSetup fitToHeight="1" fitToWidth="1" orientation="landscape" paperSize="9" scale="78"/>
  <headerFooter alignWithMargins="0">
    <oddHeader>&amp;L
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:N51"/>
    </sheetView>
  </sheetViews>
  <sheetFormatPr defaultColWidth="11.00390625" defaultRowHeight="12"/>
  <sheetData>
    <row r="1" spans="1:14" ht="12.75">
      <c r="A1" s="24" t="s">
        <v>726</v>
      </c>
      <c r="B1" s="47"/>
      <c r="C1" s="47"/>
      <c r="D1" s="67" t="s">
        <v>727</v>
      </c>
      <c r="E1" s="101"/>
      <c r="F1" s="47"/>
      <c r="G1" s="48" t="s">
        <v>494</v>
      </c>
      <c r="H1" s="98" t="e">
        <f>IF(F21="","",IF(R2=0,S1,IF(R2&gt;0,(R1&amp;S2),IF(R2&lt;0,(S1&amp;S2)))))</f>
        <v>#N/A</v>
      </c>
      <c r="I1" s="47"/>
      <c r="J1" s="48" t="s">
        <v>400</v>
      </c>
      <c r="K1" s="60"/>
      <c r="L1" s="47"/>
      <c r="M1" s="48" t="s">
        <v>730</v>
      </c>
      <c r="N1" s="60"/>
    </row>
    <row r="2" spans="1:14" ht="12.75">
      <c r="A2" s="68" t="s">
        <v>725</v>
      </c>
      <c r="B2" s="2"/>
      <c r="C2" s="2"/>
      <c r="D2" s="16" t="s">
        <v>729</v>
      </c>
      <c r="E2" s="9"/>
      <c r="F2" s="2"/>
      <c r="G2" s="69" t="s">
        <v>914</v>
      </c>
      <c r="H2" s="99">
        <f>IF(E1&gt;0,LOOKUP(E1,Species!A2:A64,Species!N2:N64),"")</f>
      </c>
      <c r="I2" s="2"/>
      <c r="J2" s="69" t="s">
        <v>723</v>
      </c>
      <c r="K2" s="61"/>
      <c r="L2" s="2"/>
      <c r="M2" s="69" t="s">
        <v>731</v>
      </c>
      <c r="N2" s="61"/>
    </row>
    <row r="3" spans="1:14" ht="13.5" thickBot="1">
      <c r="A3" s="68" t="s">
        <v>728</v>
      </c>
      <c r="B3" s="2"/>
      <c r="C3" s="2"/>
      <c r="D3" s="16" t="s">
        <v>407</v>
      </c>
      <c r="E3" s="9"/>
      <c r="F3" s="2"/>
      <c r="G3" s="69" t="s">
        <v>520</v>
      </c>
      <c r="H3" s="102" t="e">
        <f>IF(F21="","",11+F21)</f>
        <v>#N/A</v>
      </c>
      <c r="I3" s="2"/>
      <c r="J3" s="69" t="s">
        <v>724</v>
      </c>
      <c r="K3" s="62"/>
      <c r="L3" s="2"/>
      <c r="M3" s="69" t="s">
        <v>732</v>
      </c>
      <c r="N3" s="62"/>
    </row>
    <row r="4" spans="1:14" ht="13.5" thickBot="1">
      <c r="A4" s="27"/>
      <c r="B4" s="2"/>
      <c r="C4" s="2"/>
      <c r="D4" s="2"/>
      <c r="E4" s="2"/>
      <c r="F4" s="2"/>
      <c r="G4" s="2"/>
      <c r="H4" s="2"/>
      <c r="I4" s="2"/>
      <c r="J4" s="2"/>
      <c r="K4" s="16"/>
      <c r="L4" s="2"/>
      <c r="M4" s="2"/>
      <c r="N4" s="70"/>
    </row>
    <row r="5" spans="1:14" ht="13.5" thickBot="1">
      <c r="A5" s="68" t="s">
        <v>296</v>
      </c>
      <c r="B5" s="9" t="s">
        <v>412</v>
      </c>
      <c r="C5" s="9" t="s">
        <v>417</v>
      </c>
      <c r="D5" s="9" t="s">
        <v>627</v>
      </c>
      <c r="E5" s="9" t="s">
        <v>628</v>
      </c>
      <c r="F5" s="9" t="s">
        <v>944</v>
      </c>
      <c r="G5" s="9"/>
      <c r="H5" s="24" t="s">
        <v>522</v>
      </c>
      <c r="I5" s="47"/>
      <c r="J5" s="32" t="s">
        <v>409</v>
      </c>
      <c r="K5" s="24" t="s">
        <v>498</v>
      </c>
      <c r="L5" s="67"/>
      <c r="M5" s="67"/>
      <c r="N5" s="26" t="s">
        <v>729</v>
      </c>
    </row>
    <row r="6" spans="1:14" ht="12.75">
      <c r="A6" s="112" t="s">
        <v>408</v>
      </c>
      <c r="B6" s="49"/>
      <c r="C6" s="50">
        <f>IF(E1&gt;0,LOOKUP(E1,Species!A2:A64,Species!B2:B64),"")</f>
      </c>
      <c r="D6" s="50"/>
      <c r="E6" s="50">
        <f aca="true" t="shared" si="0" ref="E6:E11">IF(B6&gt;0,SUM(B6:D6),"")</f>
      </c>
      <c r="F6" s="72">
        <f>IF(B6&gt;0,LOOKUP(E6,'Stat Bonuses'!A2:A49,'Stat Bonuses'!B2:B49),"")</f>
      </c>
      <c r="G6" s="14"/>
      <c r="H6" s="27" t="s">
        <v>525</v>
      </c>
      <c r="I6" s="9">
        <f>IF(F9="","",(10+F9+H2)/2)</f>
      </c>
      <c r="J6" s="28">
        <f>IF(I6="","",S6&amp;R4)</f>
      </c>
      <c r="K6" s="100" t="s">
        <v>310</v>
      </c>
      <c r="L6" s="2"/>
      <c r="M6" s="103" t="e">
        <f>IF(H3="","",H3+N6)</f>
        <v>#N/A</v>
      </c>
      <c r="N6" s="28"/>
    </row>
    <row r="7" spans="1:14" ht="12.75">
      <c r="A7" s="112" t="s">
        <v>796</v>
      </c>
      <c r="B7" s="73"/>
      <c r="C7" s="74">
        <f>IF(E1&gt;0,LOOKUP(E1,Species!A2:A64,Species!C2:C64),"")</f>
      </c>
      <c r="D7" s="74"/>
      <c r="E7" s="74">
        <f t="shared" si="0"/>
      </c>
      <c r="F7" s="75">
        <f>IF(B7&gt;0,LOOKUP(E7,'Stat Bonuses'!A2:A49,'Stat Bonuses'!B2:B49),"")</f>
      </c>
      <c r="G7" s="14"/>
      <c r="H7" s="27" t="s">
        <v>523</v>
      </c>
      <c r="I7" s="65">
        <f>IF(F9="","",10+F9+H2)</f>
      </c>
      <c r="J7" s="28">
        <f>IF(F9="","",S7&amp;R5)</f>
      </c>
      <c r="K7" s="100" t="s">
        <v>311</v>
      </c>
      <c r="L7" s="2"/>
      <c r="M7" s="103" t="str">
        <f>IF(N7=0,"NA",H3+N7)</f>
        <v>NA</v>
      </c>
      <c r="N7" s="28"/>
    </row>
    <row r="8" spans="1:14" ht="12.75">
      <c r="A8" s="112" t="s">
        <v>410</v>
      </c>
      <c r="B8" s="73"/>
      <c r="C8" s="74">
        <f>IF(E1&gt;0,LOOKUP(E1,Species!A2:A64,Species!D2:D64),"")</f>
      </c>
      <c r="D8" s="74"/>
      <c r="E8" s="74">
        <f t="shared" si="0"/>
      </c>
      <c r="F8" s="75">
        <f>IF(B8&gt;0,LOOKUP(E8,'Stat Bonuses'!A2:A49,'Stat Bonuses'!B2:B49),"")</f>
      </c>
      <c r="G8" s="14"/>
      <c r="H8" s="27" t="s">
        <v>312</v>
      </c>
      <c r="I8" s="9">
        <f>IF(F9="","",(10+F9+H2)*1.5)</f>
      </c>
      <c r="J8" s="218">
        <f>IF(F9="","",S8&amp;R5)</f>
      </c>
      <c r="K8" s="100" t="s">
        <v>529</v>
      </c>
      <c r="L8" s="2"/>
      <c r="M8" s="103" t="str">
        <f>IF(N8=0,"NA",H3+N8)</f>
        <v>NA</v>
      </c>
      <c r="N8" s="28"/>
    </row>
    <row r="9" spans="1:14" ht="12.75">
      <c r="A9" s="112" t="s">
        <v>411</v>
      </c>
      <c r="B9" s="73"/>
      <c r="C9" s="74">
        <f>IF(E1&gt;0,LOOKUP(E1,Species!A2:A64,Species!E2:E64),"")</f>
      </c>
      <c r="D9" s="74"/>
      <c r="E9" s="74">
        <f t="shared" si="0"/>
      </c>
      <c r="F9" s="75">
        <f>IF(B9&gt;0,LOOKUP(E9,'Stat Bonuses'!A2:A49,'Stat Bonuses'!B2:B49),"")</f>
      </c>
      <c r="G9" s="14"/>
      <c r="H9" s="27" t="s">
        <v>524</v>
      </c>
      <c r="I9" s="9">
        <f>IF(F9="","",(10+F9+H2)*2)</f>
      </c>
      <c r="J9" s="28">
        <f>IF(F9="","",S9&amp;R4)</f>
      </c>
      <c r="K9" s="100" t="s">
        <v>530</v>
      </c>
      <c r="L9" s="2"/>
      <c r="M9" s="103" t="str">
        <f>IF(N9=0,"NA",H3+N9)</f>
        <v>NA</v>
      </c>
      <c r="N9" s="28"/>
    </row>
    <row r="10" spans="1:14" ht="12.75">
      <c r="A10" s="112" t="s">
        <v>849</v>
      </c>
      <c r="B10" s="73"/>
      <c r="C10" s="74">
        <f>IF(E1&gt;0,LOOKUP(E1,Species!A2:A64,Species!F2:F64),"")</f>
      </c>
      <c r="D10" s="74"/>
      <c r="E10" s="74">
        <f t="shared" si="0"/>
      </c>
      <c r="F10" s="75">
        <f>IF(B10&gt;0,LOOKUP(E10,'Stat Bonuses'!A2:A49,'Stat Bonuses'!B2:B49),"")</f>
      </c>
      <c r="G10" s="14"/>
      <c r="H10" s="27" t="s">
        <v>313</v>
      </c>
      <c r="I10" s="9">
        <f>IF(F9="","",(10+F9+H2)*3)</f>
      </c>
      <c r="J10" s="28">
        <f>IF(F9="","",S10&amp;R3)</f>
      </c>
      <c r="K10" s="27" t="s">
        <v>521</v>
      </c>
      <c r="L10" s="2"/>
      <c r="M10" s="103">
        <f>IF(F15="","",11+F15+E2)</f>
      </c>
      <c r="N10" s="28"/>
    </row>
    <row r="11" spans="1:14" ht="13.5" thickBot="1">
      <c r="A11" s="112" t="s">
        <v>1136</v>
      </c>
      <c r="B11" s="51"/>
      <c r="C11" s="52">
        <f>IF(E1&gt;0,LOOKUP(E1,Species!A2:A64,Species!G2:G64),"")</f>
      </c>
      <c r="D11" s="52"/>
      <c r="E11" s="52">
        <f t="shared" si="0"/>
      </c>
      <c r="F11" s="76">
        <f>IF(B11&gt;0,LOOKUP(E11,'Stat Bonuses'!A2:A49,'Stat Bonuses'!B2:B49),"")</f>
      </c>
      <c r="G11" s="14"/>
      <c r="H11" s="29" t="s">
        <v>314</v>
      </c>
      <c r="I11" s="30">
        <v>0</v>
      </c>
      <c r="J11" s="31" t="s">
        <v>490</v>
      </c>
      <c r="K11" s="29" t="s">
        <v>497</v>
      </c>
      <c r="L11" s="33"/>
      <c r="M11" s="111">
        <f>IF(F14="","",(11+F14+E2))</f>
      </c>
      <c r="N11" s="31"/>
    </row>
    <row r="12" spans="1:14" ht="13.5" thickBot="1">
      <c r="A12" s="71" t="s">
        <v>297</v>
      </c>
      <c r="B12" s="17"/>
      <c r="C12" s="17"/>
      <c r="D12" s="17"/>
      <c r="E12" s="17"/>
      <c r="F12" s="17"/>
      <c r="G12" s="14"/>
      <c r="H12" s="2"/>
      <c r="I12" s="2"/>
      <c r="J12" s="2"/>
      <c r="K12" s="2"/>
      <c r="L12" s="2"/>
      <c r="M12" s="2"/>
      <c r="N12" s="70"/>
    </row>
    <row r="13" spans="1:14" ht="12.75">
      <c r="A13" s="112" t="s">
        <v>953</v>
      </c>
      <c r="B13" s="49"/>
      <c r="C13" s="50">
        <f>IF(E1&gt;0,LOOKUP(E1,Species!A2:A64,Species!H2:H64),"")</f>
      </c>
      <c r="D13" s="50"/>
      <c r="E13" s="50">
        <f aca="true" t="shared" si="1" ref="E13:E18">IF(B13&gt;0,SUM(B13:D13),"")</f>
      </c>
      <c r="F13" s="72">
        <f>IF(B13&gt;0,LOOKUP(E13,'Stat Bonuses'!A2:A49,'Stat Bonuses'!B2:B49),"")</f>
      </c>
      <c r="G13" s="14"/>
      <c r="H13" s="96" t="s">
        <v>80</v>
      </c>
      <c r="I13" s="97"/>
      <c r="J13" s="109"/>
      <c r="K13" s="106" t="s">
        <v>493</v>
      </c>
      <c r="L13" s="97"/>
      <c r="M13" s="106">
        <f>IF(B11=0,"",((E11+(E7+E14)/2+(H2*2))*2)+(E2*7))</f>
      </c>
      <c r="N13" s="107"/>
    </row>
    <row r="14" spans="1:14" ht="12.75">
      <c r="A14" s="112" t="s">
        <v>907</v>
      </c>
      <c r="B14" s="73"/>
      <c r="C14" s="74">
        <f>IF(E1&gt;0,LOOKUP(E1,Species!A2:A64,Species!I2:I64),"")</f>
      </c>
      <c r="D14" s="74"/>
      <c r="E14" s="74">
        <f t="shared" si="1"/>
      </c>
      <c r="F14" s="75">
        <f>IF(B14&gt;0,LOOKUP(E14,'Stat Bonuses'!A2:A49,'Stat Bonuses'!B2:B49),"")</f>
      </c>
      <c r="G14" s="14"/>
      <c r="H14" s="95" t="s">
        <v>280</v>
      </c>
      <c r="I14" s="94"/>
      <c r="J14" s="21" t="s">
        <v>492</v>
      </c>
      <c r="K14" s="104"/>
      <c r="L14" s="8" t="s">
        <v>489</v>
      </c>
      <c r="M14" s="94"/>
      <c r="N14" s="105" t="s">
        <v>130</v>
      </c>
    </row>
    <row r="15" spans="1:14" ht="12.75">
      <c r="A15" s="112" t="s">
        <v>910</v>
      </c>
      <c r="B15" s="73"/>
      <c r="C15" s="74">
        <f>IF(E1&gt;0,LOOKUP(E1,Species!A2:A64,Species!J2:J64),"")</f>
      </c>
      <c r="D15" s="74"/>
      <c r="E15" s="74">
        <f t="shared" si="1"/>
      </c>
      <c r="F15" s="75">
        <f>IF(B15&gt;0,LOOKUP(E15,'Stat Bonuses'!A2:A49,'Stat Bonuses'!B2:B49),"")</f>
      </c>
      <c r="G15" s="14"/>
      <c r="H15" s="43"/>
      <c r="I15" s="3"/>
      <c r="J15" s="21" t="s">
        <v>124</v>
      </c>
      <c r="K15" s="22" t="s">
        <v>131</v>
      </c>
      <c r="L15" s="9"/>
      <c r="M15" s="20" t="s">
        <v>491</v>
      </c>
      <c r="N15" s="28">
        <v>0</v>
      </c>
    </row>
    <row r="16" spans="1:14" ht="12.75">
      <c r="A16" s="112" t="s">
        <v>956</v>
      </c>
      <c r="B16" s="73"/>
      <c r="C16" s="74">
        <f>IF(E1&gt;0,LOOKUP(E1,Species!A2:A64,Species!K2:K64),"")</f>
      </c>
      <c r="D16" s="74"/>
      <c r="E16" s="74">
        <f t="shared" si="1"/>
      </c>
      <c r="F16" s="75">
        <f>IF(B16&gt;0,LOOKUP(E16,'Stat Bonuses'!A2:A49,'Stat Bonuses'!B2:B49),"")</f>
      </c>
      <c r="G16" s="14"/>
      <c r="H16" s="43"/>
      <c r="I16" s="3"/>
      <c r="J16" s="1"/>
      <c r="K16" s="56" t="s">
        <v>132</v>
      </c>
      <c r="L16" s="64"/>
      <c r="M16" s="19">
        <v>0.5</v>
      </c>
      <c r="N16" s="57">
        <v>-1</v>
      </c>
    </row>
    <row r="17" spans="1:14" ht="12.75">
      <c r="A17" s="112" t="s">
        <v>797</v>
      </c>
      <c r="B17" s="73"/>
      <c r="C17" s="74">
        <f>IF(E1&gt;0,LOOKUP(E1,Species!A2:A64,Species!L2:L64),"")</f>
      </c>
      <c r="D17" s="74"/>
      <c r="E17" s="74">
        <f t="shared" si="1"/>
      </c>
      <c r="F17" s="75">
        <f>IF(B17&gt;0,LOOKUP(E17,'Stat Bonuses'!A2:A49,'Stat Bonuses'!B2:B49),"")</f>
      </c>
      <c r="G17" s="14"/>
      <c r="H17" s="43"/>
      <c r="I17" s="3"/>
      <c r="J17" s="1"/>
      <c r="K17" s="22" t="s">
        <v>133</v>
      </c>
      <c r="L17" s="65"/>
      <c r="M17" s="18">
        <v>0.75</v>
      </c>
      <c r="N17" s="28">
        <v>-2</v>
      </c>
    </row>
    <row r="18" spans="1:14" ht="13.5" thickBot="1">
      <c r="A18" s="112" t="s">
        <v>911</v>
      </c>
      <c r="B18" s="51"/>
      <c r="C18" s="52">
        <f>IF(E1&gt;0,LOOKUP(E1,Species!A2:A64,Species!M2:M64),"")</f>
      </c>
      <c r="D18" s="52"/>
      <c r="E18" s="52">
        <f t="shared" si="1"/>
      </c>
      <c r="F18" s="76">
        <f>IF(B18&gt;0,LOOKUP(E18,'Stat Bonuses'!A2:A49,'Stat Bonuses'!B2:B49),"")</f>
      </c>
      <c r="G18" s="14"/>
      <c r="H18" s="43"/>
      <c r="I18" s="3"/>
      <c r="J18" s="1"/>
      <c r="K18" s="56" t="s">
        <v>134</v>
      </c>
      <c r="L18" s="64"/>
      <c r="M18" s="19">
        <v>0.85</v>
      </c>
      <c r="N18" s="57">
        <v>-3</v>
      </c>
    </row>
    <row r="19" spans="1:14" ht="13.5" thickBot="1">
      <c r="A19" s="71" t="s">
        <v>300</v>
      </c>
      <c r="B19" s="17"/>
      <c r="C19" s="17"/>
      <c r="D19" s="17"/>
      <c r="E19" s="17"/>
      <c r="F19" s="17"/>
      <c r="G19" s="14"/>
      <c r="H19" s="43"/>
      <c r="I19" s="3"/>
      <c r="J19" s="1"/>
      <c r="K19" s="22" t="s">
        <v>135</v>
      </c>
      <c r="L19" s="65"/>
      <c r="M19" s="18">
        <v>0.9</v>
      </c>
      <c r="N19" s="28">
        <v>-4</v>
      </c>
    </row>
    <row r="20" spans="1:14" ht="12.75">
      <c r="A20" s="112" t="s">
        <v>912</v>
      </c>
      <c r="B20" s="49">
        <f>IF(B13&gt;0,(B13+B15)/2,"")</f>
      </c>
      <c r="C20" s="50" t="s">
        <v>490</v>
      </c>
      <c r="D20" s="50" t="s">
        <v>490</v>
      </c>
      <c r="E20" s="50">
        <f>IF(B13&gt;0,(E13+E15)/2,"")</f>
      </c>
      <c r="F20" s="72" t="e">
        <f>IF(B20&gt;0,LOOKUP(E20,'Stat Bonuses'!A2:A49,'Stat Bonuses'!B2:B49),"")</f>
        <v>#N/A</v>
      </c>
      <c r="G20" s="17"/>
      <c r="H20" s="43"/>
      <c r="I20" s="3"/>
      <c r="J20" s="1"/>
      <c r="K20" s="56" t="s">
        <v>136</v>
      </c>
      <c r="L20" s="64"/>
      <c r="M20" s="19">
        <v>0.95</v>
      </c>
      <c r="N20" s="57">
        <v>-5</v>
      </c>
    </row>
    <row r="21" spans="1:14" ht="13.5" thickBot="1">
      <c r="A21" s="112" t="s">
        <v>913</v>
      </c>
      <c r="B21" s="51">
        <f>IF(B20="","",(B20+B9)/2)</f>
      </c>
      <c r="C21" s="52" t="s">
        <v>490</v>
      </c>
      <c r="D21" s="52" t="s">
        <v>490</v>
      </c>
      <c r="E21" s="52">
        <f>IF(E20="","",(E20+E9)/2)</f>
      </c>
      <c r="F21" s="76" t="e">
        <f>IF(B21&gt;0,LOOKUP(E21,'Stat Bonuses'!A2:A49,'Stat Bonuses'!B2:B49),"")</f>
        <v>#N/A</v>
      </c>
      <c r="G21" s="17"/>
      <c r="H21" s="27"/>
      <c r="I21" s="3"/>
      <c r="J21" s="1"/>
      <c r="K21" s="23" t="s">
        <v>279</v>
      </c>
      <c r="L21" s="65"/>
      <c r="M21" s="18">
        <v>1</v>
      </c>
      <c r="N21" s="28" t="s">
        <v>490</v>
      </c>
    </row>
    <row r="22" spans="1:14" ht="13.5" thickBot="1">
      <c r="A22" s="27"/>
      <c r="B22" s="2"/>
      <c r="C22" s="2"/>
      <c r="D22" s="2"/>
      <c r="E22" s="2"/>
      <c r="F22" s="2"/>
      <c r="G22" s="2"/>
      <c r="H22" s="29"/>
      <c r="I22" s="44"/>
      <c r="J22" s="45"/>
      <c r="K22" s="45" t="s">
        <v>137</v>
      </c>
      <c r="L22" s="66"/>
      <c r="M22" s="46">
        <v>1.2</v>
      </c>
      <c r="N22" s="31" t="s">
        <v>490</v>
      </c>
    </row>
    <row r="23" spans="1:14" ht="12.75">
      <c r="A23" s="24" t="s">
        <v>301</v>
      </c>
      <c r="B23" s="25"/>
      <c r="C23" s="25" t="s">
        <v>127</v>
      </c>
      <c r="D23" s="25" t="s">
        <v>128</v>
      </c>
      <c r="E23" s="25" t="s">
        <v>129</v>
      </c>
      <c r="F23" s="26" t="s">
        <v>947</v>
      </c>
      <c r="G23" s="8"/>
      <c r="H23" s="24" t="s">
        <v>945</v>
      </c>
      <c r="I23" s="47"/>
      <c r="J23" s="25"/>
      <c r="K23" s="25" t="s">
        <v>729</v>
      </c>
      <c r="L23" s="25" t="s">
        <v>1016</v>
      </c>
      <c r="M23" s="25" t="s">
        <v>798</v>
      </c>
      <c r="N23" s="26" t="s">
        <v>946</v>
      </c>
    </row>
    <row r="24" spans="1:14" ht="12.75">
      <c r="A24" s="27" t="s">
        <v>422</v>
      </c>
      <c r="B24" s="9"/>
      <c r="C24" s="9">
        <f>IF(A24&gt;0,LOOKUP(A24,Armor!A2:A62,Armor!B2:B62),"")</f>
        <v>0</v>
      </c>
      <c r="D24" s="9">
        <f>IF(A24&gt;0,LOOKUP(A24,Armor!A2:A62,Armor!C2:C62),"")</f>
        <v>0</v>
      </c>
      <c r="E24" s="9">
        <f>IF(A24&gt;0,LOOKUP(A24,Armor!A2:A62,Armor!D2:D62),"")</f>
        <v>0</v>
      </c>
      <c r="F24" s="28">
        <f>IF(A24&gt;0,LOOKUP(A24,Armor!A2:A62,Armor!E2:E62),"")</f>
        <v>0</v>
      </c>
      <c r="G24" s="9"/>
      <c r="H24" s="53"/>
      <c r="I24" s="4"/>
      <c r="J24" s="13"/>
      <c r="K24" s="13"/>
      <c r="L24" s="10">
        <f>IF(H24&gt;0,LOOKUP(H24,Skills!A2:A419,Skills!B2:B419),"")</f>
      </c>
      <c r="M24" s="163">
        <f>IF(H24&gt;0,P24,"")</f>
      </c>
      <c r="N24" s="157">
        <f>IF(H24&gt;0,K24+M24,"")</f>
      </c>
    </row>
    <row r="25" spans="1:14" ht="13.5" thickBot="1">
      <c r="A25" s="29" t="s">
        <v>422</v>
      </c>
      <c r="B25" s="30"/>
      <c r="C25" s="30">
        <f>IF(A25&gt;0,LOOKUP(A25,Armor!A2:A62,Armor!B2:B62),"")</f>
        <v>0</v>
      </c>
      <c r="D25" s="30">
        <f>IF(A25&gt;0,LOOKUP(A25,Armor!A2:A62,Armor!C2:C62),"")</f>
        <v>0</v>
      </c>
      <c r="E25" s="30">
        <f>IF(A25&gt;0,LOOKUP(A25,Armor!A2:A62,Armor!D2:D62),"")</f>
        <v>0</v>
      </c>
      <c r="F25" s="31">
        <f>IF(A25&gt;0,LOOKUP(A25,Armor!A2:A62,Armor!E2:E62),"")</f>
        <v>0</v>
      </c>
      <c r="G25" s="9"/>
      <c r="H25" s="53"/>
      <c r="I25" s="4"/>
      <c r="J25" s="13"/>
      <c r="K25" s="13"/>
      <c r="L25" s="10">
        <f>IF(H25&gt;0,LOOKUP(H25,Skills!A2:A419,Skills!B2:B419),"")</f>
      </c>
      <c r="M25" s="163">
        <f aca="true" t="shared" si="2" ref="M25:M37">IF(H25&gt;0,P25,"")</f>
      </c>
      <c r="N25" s="157">
        <f aca="true" t="shared" si="3" ref="N25:N37">IF(H25&gt;0,K25+M25,"")</f>
      </c>
    </row>
    <row r="26" spans="1:14" ht="13.5" thickBot="1">
      <c r="A26" s="27"/>
      <c r="B26" s="2"/>
      <c r="C26" s="2"/>
      <c r="D26" s="2"/>
      <c r="E26" s="2"/>
      <c r="F26" s="2"/>
      <c r="G26" s="2"/>
      <c r="H26" s="53"/>
      <c r="I26" s="4"/>
      <c r="J26" s="13"/>
      <c r="K26" s="13"/>
      <c r="L26" s="10">
        <f>IF(H26&gt;0,LOOKUP(H26,Skills!A2:A419,Skills!B2:B419),"")</f>
      </c>
      <c r="M26" s="163">
        <f t="shared" si="2"/>
      </c>
      <c r="N26" s="157">
        <f t="shared" si="3"/>
      </c>
    </row>
    <row r="27" spans="1:14" ht="12.75">
      <c r="A27" s="24" t="s">
        <v>950</v>
      </c>
      <c r="B27" s="25"/>
      <c r="C27" s="25" t="s">
        <v>951</v>
      </c>
      <c r="D27" s="25" t="s">
        <v>799</v>
      </c>
      <c r="E27" s="25" t="s">
        <v>798</v>
      </c>
      <c r="F27" s="26" t="s">
        <v>124</v>
      </c>
      <c r="G27" s="16"/>
      <c r="H27" s="133"/>
      <c r="I27" s="134"/>
      <c r="J27" s="135"/>
      <c r="K27" s="135"/>
      <c r="L27" s="10">
        <f>IF(H27&gt;0,LOOKUP(H27,Skills!A2:A419,Skills!B2:B419),"")</f>
      </c>
      <c r="M27" s="163">
        <f t="shared" si="2"/>
      </c>
      <c r="N27" s="157">
        <f t="shared" si="3"/>
      </c>
    </row>
    <row r="28" spans="1:14" ht="12.75">
      <c r="A28" s="27" t="s">
        <v>948</v>
      </c>
      <c r="B28" s="2"/>
      <c r="C28" s="9">
        <v>0</v>
      </c>
      <c r="D28" s="65">
        <v>1</v>
      </c>
      <c r="E28" s="65">
        <f>F6</f>
      </c>
      <c r="F28" s="28">
        <f>IF(E28=0,R21,IF(E28&lt;0,R21&amp;E28,IF(E28&gt;0,S21&amp;E28)))</f>
      </c>
      <c r="G28" s="9"/>
      <c r="H28" s="53"/>
      <c r="I28" s="4"/>
      <c r="J28" s="13"/>
      <c r="K28" s="13"/>
      <c r="L28" s="10">
        <f>IF(H28&gt;0,LOOKUP(H28,Skills!A2:A419,Skills!B2:B419),"")</f>
      </c>
      <c r="M28" s="163">
        <f t="shared" si="2"/>
      </c>
      <c r="N28" s="157">
        <f t="shared" si="3"/>
      </c>
    </row>
    <row r="29" spans="1:14" ht="13.5" thickBot="1">
      <c r="A29" s="29" t="s">
        <v>949</v>
      </c>
      <c r="B29" s="33"/>
      <c r="C29" s="30">
        <v>0</v>
      </c>
      <c r="D29" s="66">
        <v>2</v>
      </c>
      <c r="E29" s="66">
        <f>F6</f>
      </c>
      <c r="F29" s="31">
        <f>IF(E29=0,R22,IF(E29&lt;0,R22&amp;E29,IF(E29&gt;0,S22&amp;E29)))</f>
      </c>
      <c r="G29" s="9"/>
      <c r="H29" s="133"/>
      <c r="I29" s="136"/>
      <c r="J29" s="135"/>
      <c r="K29" s="135"/>
      <c r="L29" s="10">
        <f>IF(H29&gt;0,LOOKUP(H29,Skills!A2:A419,Skills!B2:B419),"")</f>
      </c>
      <c r="M29" s="163">
        <f t="shared" si="2"/>
      </c>
      <c r="N29" s="157">
        <f t="shared" si="3"/>
      </c>
    </row>
    <row r="30" spans="1:14" ht="13.5" thickBot="1">
      <c r="A30" s="27"/>
      <c r="B30" s="2"/>
      <c r="C30" s="2"/>
      <c r="D30" s="2"/>
      <c r="E30" s="2"/>
      <c r="F30" s="2"/>
      <c r="G30" s="2"/>
      <c r="H30" s="59"/>
      <c r="I30" s="58"/>
      <c r="J30" s="13"/>
      <c r="K30" s="13"/>
      <c r="L30" s="10">
        <f>IF(H30&gt;0,LOOKUP(H30,Skills!A2:A419,Skills!B2:B419),"")</f>
      </c>
      <c r="M30" s="163">
        <f t="shared" si="2"/>
      </c>
      <c r="N30" s="157">
        <f t="shared" si="3"/>
      </c>
    </row>
    <row r="31" spans="1:14" ht="12.75">
      <c r="A31" s="24" t="s">
        <v>288</v>
      </c>
      <c r="B31" s="25" t="s">
        <v>800</v>
      </c>
      <c r="C31" s="25" t="s">
        <v>951</v>
      </c>
      <c r="D31" s="25" t="s">
        <v>799</v>
      </c>
      <c r="E31" s="25" t="s">
        <v>798</v>
      </c>
      <c r="F31" s="26" t="s">
        <v>124</v>
      </c>
      <c r="G31" s="16"/>
      <c r="H31" s="137"/>
      <c r="I31" s="136"/>
      <c r="J31" s="135"/>
      <c r="K31" s="135"/>
      <c r="L31" s="10">
        <f>IF(H31&gt;0,LOOKUP(H31,Skills!A2:A419,Skills!B2:B419),"")</f>
      </c>
      <c r="M31" s="163">
        <f t="shared" si="2"/>
      </c>
      <c r="N31" s="157">
        <f t="shared" si="3"/>
      </c>
    </row>
    <row r="32" spans="1:14" ht="12.75">
      <c r="A32" s="27"/>
      <c r="B32" s="9">
        <f>IF(A32&gt;0,LOOKUP(A32,Melee!A2:A92,Melee!E2:E92),"")</f>
      </c>
      <c r="C32" s="9">
        <f>IF(A32&gt;0,LOOKUP(A32,Melee!A2:A92,Melee!D2:D92),"")</f>
      </c>
      <c r="D32" s="9">
        <f>IF(A32&gt;0,LOOKUP(A32,Melee!A2:A92,Melee!C2:C92),"")</f>
      </c>
      <c r="E32" s="65">
        <f>IF(A32&gt;0,F6,"")</f>
      </c>
      <c r="F32" s="28">
        <f>IF(A32=0,"",IF(E32=0,D32&amp;R21,IF(E32&lt;0,D32&amp;R21&amp;E32,IF(E32&gt;0,D32&amp;S21&amp;E32))))</f>
      </c>
      <c r="G32" s="9"/>
      <c r="H32" s="59"/>
      <c r="I32" s="4"/>
      <c r="J32" s="10"/>
      <c r="K32" s="10"/>
      <c r="L32" s="10">
        <f>IF(H32&gt;0,LOOKUP(H32,Skills!A2:A419,Skills!B2:B419),"")</f>
      </c>
      <c r="M32" s="163">
        <f t="shared" si="2"/>
      </c>
      <c r="N32" s="157">
        <f t="shared" si="3"/>
      </c>
    </row>
    <row r="33" spans="1:14" ht="12.75">
      <c r="A33" s="53"/>
      <c r="B33" s="13">
        <f>IF(A33&gt;0,LOOKUP(A33,Melee!A2:A92,Melee!E2:E92),"")</f>
      </c>
      <c r="C33" s="13">
        <f>IF(A33&gt;0,LOOKUP(A33,Melee!A2:A92,Melee!D2:D92),"")</f>
      </c>
      <c r="D33" s="13">
        <f>IF(A33&gt;0,LOOKUP(A33,Melee!A2:A92,Melee!C2:C92),"")</f>
      </c>
      <c r="E33" s="110">
        <f>IF(A33&gt;0,F6,"")</f>
      </c>
      <c r="F33" s="54">
        <f>IF(A33=0,"",IF(E32=0,D32&amp;R21,IF(E32&lt;0,D32&amp;R21&amp;E32,IF(E32&gt;0,D32&amp;S21&amp;E32))))</f>
      </c>
      <c r="G33" s="12"/>
      <c r="H33" s="137"/>
      <c r="I33" s="134"/>
      <c r="J33" s="138"/>
      <c r="K33" s="138"/>
      <c r="L33" s="10">
        <f>IF(H33&gt;0,LOOKUP(H33,Skills!A2:A419,Skills!B2:B419),"")</f>
      </c>
      <c r="M33" s="163">
        <f t="shared" si="2"/>
      </c>
      <c r="N33" s="157">
        <f t="shared" si="3"/>
      </c>
    </row>
    <row r="34" spans="1:14" ht="12.75">
      <c r="A34" s="27"/>
      <c r="B34" s="9">
        <f>IF(A34&gt;0,LOOKUP(A34,Melee!A2:A92,Melee!E2:E92),"")</f>
      </c>
      <c r="C34" s="9">
        <f>IF(A34&gt;0,LOOKUP(A34,Melee!A2:A92,Melee!D2:D92),"")</f>
      </c>
      <c r="D34" s="9">
        <f>IF(A34&gt;0,LOOKUP(A34,Melee!A2:A92,Melee!C2:C92),"")</f>
      </c>
      <c r="E34" s="65">
        <f>IF(A34&gt;0,F6,"")</f>
      </c>
      <c r="F34" s="28">
        <f>IF(A34=0,"",IF(E32=0,D32&amp;R21,IF(E32&lt;0,D32&amp;R21&amp;E32,IF(E32&gt;0,D32&amp;S21&amp;E32))))</f>
      </c>
      <c r="G34" s="12"/>
      <c r="H34" s="59"/>
      <c r="I34" s="4"/>
      <c r="J34" s="10"/>
      <c r="K34" s="10"/>
      <c r="L34" s="10">
        <f>IF(H34&gt;0,LOOKUP(H34,Skills!A2:A419,Skills!B2:B419),"")</f>
      </c>
      <c r="M34" s="163">
        <f t="shared" si="2"/>
      </c>
      <c r="N34" s="157">
        <f t="shared" si="3"/>
      </c>
    </row>
    <row r="35" spans="1:14" ht="12.75">
      <c r="A35" s="53"/>
      <c r="B35" s="13">
        <f>IF(A35&gt;0,LOOKUP(A35,Melee!A2:A92,Melee!E2:E92),"")</f>
      </c>
      <c r="C35" s="13">
        <f>IF(A35&gt;0,LOOKUP(A35,Melee!A2:A92,Melee!D2:D92),"")</f>
      </c>
      <c r="D35" s="13">
        <f>IF(A35&gt;0,LOOKUP(A35,Melee!A2:A92,Melee!C2:C92),"")</f>
      </c>
      <c r="E35" s="110">
        <f>IF(A35&gt;0,F6,"")</f>
      </c>
      <c r="F35" s="54">
        <f>IF(A35=0,"",IF(E32=0,D32&amp;R21,IF(E32&lt;0,D32&amp;R21&amp;E32,IF(E32&gt;0,D32&amp;S21&amp;E32))))</f>
      </c>
      <c r="G35" s="12"/>
      <c r="H35" s="137"/>
      <c r="I35" s="134"/>
      <c r="J35" s="138"/>
      <c r="K35" s="138"/>
      <c r="L35" s="10">
        <f>IF(H35&gt;0,LOOKUP(H35,Skills!A2:A419,Skills!B2:B419),"")</f>
      </c>
      <c r="M35" s="163">
        <f t="shared" si="2"/>
      </c>
      <c r="N35" s="157">
        <f t="shared" si="3"/>
      </c>
    </row>
    <row r="36" spans="1:14" ht="12.75">
      <c r="A36" s="34"/>
      <c r="B36" s="12">
        <f>IF(A36&gt;0,LOOKUP(A36,Melee!A2:A92,Melee!E2:E92),"")</f>
      </c>
      <c r="C36" s="12">
        <f>IF(A36&gt;0,LOOKUP(A36,Melee!A2:A92,Melee!D2:D92),"")</f>
      </c>
      <c r="D36" s="12">
        <f>IF(A36&gt;0,LOOKUP(A36,Melee!A2:A92,Melee!C2:C92),"")</f>
      </c>
      <c r="E36" s="113">
        <f>IF(A36&gt;0,F6,"")</f>
      </c>
      <c r="F36" s="35">
        <f>IF(A36=0,"",IF(E32=0,D32&amp;R21,IF(E32&lt;0,D32&amp;R21&amp;E32,IF(E32&gt;0,D32&amp;S21&amp;E32))))</f>
      </c>
      <c r="G36" s="12"/>
      <c r="H36" s="59"/>
      <c r="I36" s="4"/>
      <c r="J36" s="10"/>
      <c r="K36" s="10"/>
      <c r="L36" s="10">
        <f>IF(H36&gt;0,LOOKUP(H36,Skills!A2:A419,Skills!B2:B419),"")</f>
      </c>
      <c r="M36" s="163">
        <f t="shared" si="2"/>
      </c>
      <c r="N36" s="157">
        <f t="shared" si="3"/>
      </c>
    </row>
    <row r="37" spans="1:14" ht="13.5" thickBot="1">
      <c r="A37" s="36"/>
      <c r="B37" s="37">
        <f>IF(A37&gt;0,LOOKUP(A37,Melee!A2:A92,Melee!E2:E92),"")</f>
      </c>
      <c r="C37" s="37">
        <f>IF(A37&gt;0,LOOKUP(A37,Melee!A2:A92,Melee!D2:D92),"")</f>
      </c>
      <c r="D37" s="37">
        <f>IF(A37&gt;0,LOOKUP(A37,Melee!A2:A92,Melee!C2:C92),"")</f>
      </c>
      <c r="E37" s="114">
        <f>IF(A37&gt;0,F6,"")</f>
      </c>
      <c r="F37" s="38">
        <f>IF(A37=0,"",IF(E32=0,D32&amp;R21,IF(E32&lt;0,D32&amp;R21&amp;E32,IF(E32&gt;0,D32&amp;S21&amp;E32))))</f>
      </c>
      <c r="G37" s="12"/>
      <c r="H37" s="29"/>
      <c r="I37" s="33"/>
      <c r="J37" s="30"/>
      <c r="K37" s="30"/>
      <c r="L37" s="30">
        <f>IF(H37&gt;0,LOOKUP(H37,Skills!A2:A419,Skills!B2:B419),"")</f>
      </c>
      <c r="M37" s="183">
        <f t="shared" si="2"/>
      </c>
      <c r="N37" s="158">
        <f t="shared" si="3"/>
      </c>
    </row>
    <row r="38" spans="1:14" ht="13.5" thickBot="1">
      <c r="A38" s="34"/>
      <c r="B38" s="12"/>
      <c r="C38" s="12"/>
      <c r="D38" s="12"/>
      <c r="E38" s="113"/>
      <c r="F38" s="12"/>
      <c r="G38" s="2"/>
      <c r="H38" s="2"/>
      <c r="I38" s="2"/>
      <c r="J38" s="2"/>
      <c r="K38" s="2"/>
      <c r="L38" s="2"/>
      <c r="M38" s="2"/>
      <c r="N38" s="70"/>
    </row>
    <row r="39" spans="1:14" ht="12.75">
      <c r="A39" s="39" t="s">
        <v>71</v>
      </c>
      <c r="B39" s="173" t="s">
        <v>800</v>
      </c>
      <c r="C39" s="173" t="s">
        <v>798</v>
      </c>
      <c r="D39" s="174" t="s">
        <v>126</v>
      </c>
      <c r="E39" s="175" t="s">
        <v>124</v>
      </c>
      <c r="F39" s="173" t="s">
        <v>122</v>
      </c>
      <c r="G39" s="173"/>
      <c r="H39" s="173" t="s">
        <v>124</v>
      </c>
      <c r="I39" s="174" t="s">
        <v>802</v>
      </c>
      <c r="J39" s="175" t="s">
        <v>124</v>
      </c>
      <c r="K39" s="173" t="s">
        <v>123</v>
      </c>
      <c r="L39" s="173" t="s">
        <v>124</v>
      </c>
      <c r="M39" s="174" t="s">
        <v>804</v>
      </c>
      <c r="N39" s="176" t="s">
        <v>124</v>
      </c>
    </row>
    <row r="40" spans="1:14" ht="12.75">
      <c r="A40" s="34"/>
      <c r="B40" s="12">
        <f>IF(A40&gt;0,LOOKUP(A40,Distance!A2:A13,Distance!D2:D13),"")</f>
      </c>
      <c r="C40" s="113">
        <f>IF(A40&gt;0,F6,"")</f>
      </c>
      <c r="D40" s="79">
        <f>IF(A40&gt;0,LOOKUP(A40,Distance!A2:A13,Distance!E2:E13),"")</f>
      </c>
      <c r="E40" s="77">
        <f>IF(A40&gt;0,H40+C40+1,"")</f>
      </c>
      <c r="F40" s="78">
        <f>IF(A40&gt;0,LOOKUP(A40,Distance!A2:A13,Distance!F2:F13),"")</f>
      </c>
      <c r="G40" s="78"/>
      <c r="H40" s="17">
        <f>IF(A40&gt;0,LOOKUP(A40,Distance!A2:A13,Distance!C2:C13)+C40,"")</f>
      </c>
      <c r="I40" s="79">
        <f>IF(A40&gt;0,LOOKUP(A40,Distance!A2:A13,Distance!G2:G13),"")</f>
      </c>
      <c r="J40" s="77">
        <f>H40</f>
      </c>
      <c r="K40" s="78">
        <f>IF(A40&gt;0,LOOKUP(A40,Distance!A2:A13,Distance!H2:H13),"")</f>
      </c>
      <c r="L40" s="17">
        <f>IF(A40&gt;0,H40*0.75,"")</f>
      </c>
      <c r="M40" s="79">
        <f>IF(A40&gt;0,LOOKUP(A40,Distance!A2:A13,Distance!I2:I13),"")</f>
      </c>
      <c r="N40" s="80">
        <f>IF(A40&gt;0,H40*0.5,"")</f>
      </c>
    </row>
    <row r="41" spans="1:14" ht="12.75">
      <c r="A41" s="53"/>
      <c r="B41" s="13">
        <f>IF(A41&gt;0,LOOKUP(A41,Distance!A2:A13,Distance!D2:D13),"")</f>
      </c>
      <c r="C41" s="110">
        <f>IF(A41&gt;0,F6,"")</f>
      </c>
      <c r="D41" s="81">
        <f>IF(A41&gt;0,LOOKUP(A41,Distance!A2:A13,Distance!E2:E13),"")</f>
      </c>
      <c r="E41" s="82">
        <f>IF(A41&gt;0,H41+C41+1,"")</f>
      </c>
      <c r="F41" s="83">
        <f>IF(A41&gt;0,LOOKUP(A41,Distance!A2:A13,Distance!F2:F13),"")</f>
      </c>
      <c r="G41" s="83"/>
      <c r="H41" s="84">
        <f>IF(A41&gt;0,LOOKUP(A41,Distance!A2:A13,Distance!C2:C13),"")</f>
      </c>
      <c r="I41" s="85">
        <f>IF(A41&gt;0,LOOKUP(A41,Distance!A2:A13,Distance!G2:G13),"")</f>
      </c>
      <c r="J41" s="82">
        <f>H41</f>
      </c>
      <c r="K41" s="84">
        <f>IF(A41&gt;0,LOOKUP(A41,Distance!A2:A13,Distance!H2:H13),"")</f>
      </c>
      <c r="L41" s="84">
        <f>IF(A41&gt;0,H41*0.75,"")</f>
      </c>
      <c r="M41" s="81">
        <f>IF(A41&gt;0,LOOKUP(A41,Distance!A2:A13,Distance!I2:I13),"")</f>
      </c>
      <c r="N41" s="86">
        <f>IF(A41&gt;0,H41*0.5,"")</f>
      </c>
    </row>
    <row r="42" spans="1:14" ht="12.75">
      <c r="A42" s="34"/>
      <c r="B42" s="12">
        <f>IF(A42&gt;0,LOOKUP(A42,Distance!A2:A13,Distance!D2:D13),"")</f>
      </c>
      <c r="C42" s="113">
        <f>IF(A42&gt;0,F6,"")</f>
      </c>
      <c r="D42" s="63">
        <f>IF(A42&gt;0,LOOKUP(A42,Distance!A2:A13,Distance!E2:E13),"")</f>
      </c>
      <c r="E42" s="77">
        <f>IF(A42&gt;0,H42+C42+1,"")</f>
      </c>
      <c r="F42" s="17">
        <f>IF(A42&gt;0,LOOKUP(A42,Distance!A2:A13,Distance!F2:F13),"")</f>
      </c>
      <c r="G42" s="17"/>
      <c r="H42" s="17">
        <f>IF(A42&gt;0,LOOKUP(A42,Distance!A2:A13,Distance!C2:C13),"")</f>
      </c>
      <c r="I42" s="63">
        <f>IF(A42&gt;0,LOOKUP(A42,Distance!A2:A13,Distance!G2:G13),"")</f>
      </c>
      <c r="J42" s="77">
        <f>H42</f>
      </c>
      <c r="K42" s="17">
        <f>IF(A42&gt;0,LOOKUP(A42,Distance!A2:A13,Distance!H2:H13),"")</f>
      </c>
      <c r="L42" s="17">
        <f>IF(A42&gt;0,H42*0.75,"")</f>
      </c>
      <c r="M42" s="63">
        <f>IF(A42&gt;0,LOOKUP(A42,Distance!A2:A13,Distance!I2:I13),"")</f>
      </c>
      <c r="N42" s="80">
        <f>IF(A42&gt;0,H42*0.5,"")</f>
      </c>
    </row>
    <row r="43" spans="1:14" ht="13.5" thickBot="1">
      <c r="A43" s="36"/>
      <c r="B43" s="37">
        <f>IF(A43&gt;0,LOOKUP(A43,Distance!A2:A13,Distance!D2:D13),"")</f>
      </c>
      <c r="C43" s="114">
        <f>IF(A43&gt;0,F6,"")</f>
      </c>
      <c r="D43" s="87">
        <f>IF(A43&gt;0,LOOKUP(A43,Distance!A2:A13,Distance!E2:E13),"")</f>
      </c>
      <c r="E43" s="88">
        <f>IF(A43&gt;0,H43+C43+1,"")</f>
      </c>
      <c r="F43" s="89">
        <f>IF(A43&gt;0,LOOKUP(A43,Distance!A2:A13,Distance!F2:F13),"")</f>
      </c>
      <c r="G43" s="89"/>
      <c r="H43" s="89">
        <f>IF(A43&gt;0,LOOKUP(A43,Distance!A2:A13,Distance!C2:C13),"")</f>
      </c>
      <c r="I43" s="87">
        <f>IF(A43&gt;0,LOOKUP(A43,Distance!A2:A13,Distance!G2:G13),"")</f>
      </c>
      <c r="J43" s="88">
        <f>H43</f>
      </c>
      <c r="K43" s="89">
        <f>IF(A43&gt;0,LOOKUP(A43,Distance!A2:A13,Distance!H2:H13),"")</f>
      </c>
      <c r="L43" s="89">
        <f>IF(A43&gt;0,H43*0.75,"")</f>
      </c>
      <c r="M43" s="87">
        <f>IF(A43&gt;0,LOOKUP(A43,Distance!A2:A13,Distance!I2:I13),"")</f>
      </c>
      <c r="N43" s="90">
        <f>IF(A43&gt;0,H43*0.5,"")</f>
      </c>
    </row>
    <row r="44" spans="1:14" ht="13.5" thickBot="1">
      <c r="A44" s="34"/>
      <c r="B44" s="11"/>
      <c r="C44" s="11"/>
      <c r="D44" s="91"/>
      <c r="E44" s="91"/>
      <c r="F44" s="91"/>
      <c r="G44" s="91"/>
      <c r="H44" s="91"/>
      <c r="I44" s="91"/>
      <c r="J44" s="91"/>
      <c r="K44" s="17"/>
      <c r="L44" s="91"/>
      <c r="M44" s="91"/>
      <c r="N44" s="92"/>
    </row>
    <row r="45" spans="1:14" ht="12.75">
      <c r="A45" s="39" t="s">
        <v>125</v>
      </c>
      <c r="B45" s="173" t="s">
        <v>800</v>
      </c>
      <c r="C45" s="173" t="s">
        <v>801</v>
      </c>
      <c r="D45" s="177" t="s">
        <v>126</v>
      </c>
      <c r="E45" s="178" t="s">
        <v>124</v>
      </c>
      <c r="F45" s="179" t="s">
        <v>122</v>
      </c>
      <c r="G45" s="179"/>
      <c r="H45" s="179" t="s">
        <v>124</v>
      </c>
      <c r="I45" s="177" t="s">
        <v>803</v>
      </c>
      <c r="J45" s="178" t="s">
        <v>124</v>
      </c>
      <c r="K45" s="179" t="s">
        <v>123</v>
      </c>
      <c r="L45" s="179" t="s">
        <v>124</v>
      </c>
      <c r="M45" s="177" t="s">
        <v>804</v>
      </c>
      <c r="N45" s="180" t="s">
        <v>124</v>
      </c>
    </row>
    <row r="46" spans="1:14" ht="12.75">
      <c r="A46" s="41"/>
      <c r="B46" s="14">
        <f>IF(A46&gt;0,LOOKUP(A46,Firearms!A2:Firearms!A253,Firearms!C2:C253),"")</f>
      </c>
      <c r="C46" s="14">
        <f>IF(A46&gt;0,LOOKUP(A46,Firearms!A2:Firearms!A253,Firearms!D2:D253),"")</f>
      </c>
      <c r="D46" s="79">
        <f>IF(A46&gt;0,LOOKUP(A46,Firearms!A2:Firearms!A253,Firearms!E2:E253),"")</f>
      </c>
      <c r="E46" s="77">
        <f aca="true" t="shared" si="4" ref="E46:E51">IF(A46&gt;0,H46+1,"")</f>
      </c>
      <c r="F46" s="78">
        <f>IF(A46&gt;0,LOOKUP(A46,Firearms!A2:Firearms!A253,Firearms!F2:F253),"")</f>
      </c>
      <c r="G46" s="78"/>
      <c r="H46" s="17">
        <f>IF(A46&gt;0,LOOKUP(A46,Firearms!A2:Firearms!A253,Firearms!B2:B253),"")</f>
      </c>
      <c r="I46" s="79">
        <f>IF(A46&gt;0,LOOKUP(A46,Firearms!A2:Firearms!A253,Firearms!G2:G253),"")</f>
      </c>
      <c r="J46" s="77">
        <f aca="true" t="shared" si="5" ref="J46:J51">H46</f>
      </c>
      <c r="K46" s="78">
        <f>IF(A46&gt;0,LOOKUP(A46,Firearms!A2:Firearms!A253,Firearms!H2:H253),"")</f>
      </c>
      <c r="L46" s="17">
        <f aca="true" t="shared" si="6" ref="L46:L51">IF(A46&gt;0,H46*0.75,"")</f>
      </c>
      <c r="M46" s="79">
        <f>IF(A46&gt;0,LOOKUP(A46,Firearms!A2:Firearms!A253,Firearms!I2:I253),"")</f>
      </c>
      <c r="N46" s="80">
        <f aca="true" t="shared" si="7" ref="N46:N51">IF(A46&gt;0,H46*0.5,"")</f>
      </c>
    </row>
    <row r="47" spans="1:14" ht="12.75">
      <c r="A47" s="55"/>
      <c r="B47" s="15">
        <f>IF(A47&gt;0,LOOKUP(A47,Firearms!A2:A253,Firearms!C2:C253),"")</f>
      </c>
      <c r="C47" s="15">
        <f>IF(A47&gt;0,LOOKUP(A47,Firearms!A2:Firearms!A253,Firearms!D2:D253),"")</f>
      </c>
      <c r="D47" s="85">
        <f>IF(A47&gt;0,LOOKUP(A47,Firearms!A2:Firearms!A253,Firearms!E2:E253),"")</f>
      </c>
      <c r="E47" s="82">
        <f t="shared" si="4"/>
      </c>
      <c r="F47" s="83">
        <f>IF(A47&gt;0,LOOKUP(A47,Firearms!A2:Firearms!A253,Firearms!F2:F253),"")</f>
      </c>
      <c r="G47" s="83"/>
      <c r="H47" s="84">
        <f>IF(A47&gt;0,LOOKUP(A47,Firearms!A2:Firearms!A253,Firearms!B2:B253),"")</f>
      </c>
      <c r="I47" s="85">
        <f>IF(A47&gt;0,LOOKUP(A47,Firearms!A2:Firearms!A253,Firearms!G2:G253),"")</f>
      </c>
      <c r="J47" s="82">
        <f t="shared" si="5"/>
      </c>
      <c r="K47" s="83">
        <f>IF(A47&gt;0,LOOKUP(A47,Firearms!A2:Firearms!A253,Firearms!H2:H253),"")</f>
      </c>
      <c r="L47" s="84">
        <f t="shared" si="6"/>
      </c>
      <c r="M47" s="85">
        <f>IF(A47&gt;0,LOOKUP(A47,Firearms!A2:Firearms!A253,Firearms!I2:I253),"")</f>
      </c>
      <c r="N47" s="86">
        <f t="shared" si="7"/>
      </c>
    </row>
    <row r="48" spans="1:14" ht="12.75">
      <c r="A48" s="41"/>
      <c r="B48" s="14">
        <f>IF(A48&gt;0,LOOKUP(A48,Firearms!A2:Firearms!A253,Firearms!C2:C253),"")</f>
      </c>
      <c r="C48" s="14">
        <f>IF(A48&gt;0,LOOKUP(A48,Firearms!A2:Firearms!A253,Firearms!D2:D253),"")</f>
      </c>
      <c r="D48" s="63">
        <f>IF(A48&gt;0,LOOKUP(A48,Firearms!A2:Firearms!A253,Firearms!E2:E253),"")</f>
      </c>
      <c r="E48" s="77">
        <f t="shared" si="4"/>
      </c>
      <c r="F48" s="17">
        <f>IF(A48&gt;0,LOOKUP(A48,Firearms!A2:Firearms!A253,Firearms!F2:F253),"")</f>
      </c>
      <c r="G48" s="17"/>
      <c r="H48" s="17">
        <f>IF(A48&gt;0,LOOKUP(A48,Firearms!A2:Firearms!A253,Firearms!B2:B253),"")</f>
      </c>
      <c r="I48" s="63">
        <f>IF(A48&gt;0,LOOKUP(A48,Firearms!A2:Firearms!A253,Firearms!G2:G253),"")</f>
      </c>
      <c r="J48" s="77">
        <f t="shared" si="5"/>
      </c>
      <c r="K48" s="17">
        <f>IF(A48&gt;0,LOOKUP(A48,Firearms!A2:Firearms!A253,Firearms!H2:H253),"")</f>
      </c>
      <c r="L48" s="17">
        <f t="shared" si="6"/>
      </c>
      <c r="M48" s="63">
        <f>IF(A48&gt;0,LOOKUP(A48,Firearms!A2:Firearms!A253,Firearms!I2:I253),"")</f>
      </c>
      <c r="N48" s="80">
        <f t="shared" si="7"/>
      </c>
    </row>
    <row r="49" spans="1:14" ht="12.75">
      <c r="A49" s="55"/>
      <c r="B49" s="15">
        <f>IF(A49&gt;0,LOOKUP(A49,Firearms!A2:Firearms!A253,Firearms!C2:C253),"")</f>
      </c>
      <c r="C49" s="15">
        <f>IF(A49&gt;0,LOOKUP(A49,Firearms!A2:Firearms!A253,Firearms!D2:D253),"")</f>
      </c>
      <c r="D49" s="81">
        <f>IF(A49&gt;0,LOOKUP(A49,Firearms!A2:Firearms!A253,Firearms!E2:E253),"")</f>
      </c>
      <c r="E49" s="82">
        <f t="shared" si="4"/>
      </c>
      <c r="F49" s="84">
        <f>IF(A49&gt;0,LOOKUP(A49,Firearms!A2:Firearms!A253,Firearms!F2:F253),"")</f>
      </c>
      <c r="G49" s="84"/>
      <c r="H49" s="84">
        <f>IF(A49&gt;0,LOOKUP(A49,Firearms!A2:Firearms!A253,Firearms!B2:B253),"")</f>
      </c>
      <c r="I49" s="81">
        <f>IF(A49&gt;0,LOOKUP(A49,Firearms!A2:Firearms!A253,Firearms!G2:G253),"")</f>
      </c>
      <c r="J49" s="82">
        <f t="shared" si="5"/>
      </c>
      <c r="K49" s="84">
        <f>IF(A49&gt;0,LOOKUP(A49,Firearms!A2:Firearms!A253,Firearms!H2:H253),"")</f>
      </c>
      <c r="L49" s="84">
        <f t="shared" si="6"/>
      </c>
      <c r="M49" s="81">
        <f>IF(A49&gt;0,LOOKUP(A49,Firearms!A2:Firearms!A253,Firearms!I2:I253),"")</f>
      </c>
      <c r="N49" s="86">
        <f t="shared" si="7"/>
      </c>
    </row>
    <row r="50" spans="1:14" ht="12.75">
      <c r="A50" s="41"/>
      <c r="B50" s="14">
        <f>IF(A50&gt;0,LOOKUP(A50,Firearms!A2:Firearms!A253,Firearms!C2:C253),"")</f>
      </c>
      <c r="C50" s="14">
        <f>IF(A50&gt;0,LOOKUP(A50,Firearms!A2:Firearms!A253,Firearms!D2:D253),"")</f>
      </c>
      <c r="D50" s="63">
        <f>IF(A50&gt;0,LOOKUP(A50,Firearms!A2:Firearms!A253,Firearms!E2:E253),"")</f>
      </c>
      <c r="E50" s="77">
        <f t="shared" si="4"/>
      </c>
      <c r="F50" s="17">
        <f>IF(A50&gt;0,LOOKUP(A50,Firearms!A2:Firearms!A253,Firearms!F2:F253),"")</f>
      </c>
      <c r="G50" s="17"/>
      <c r="H50" s="17">
        <f>IF(A50&gt;0,LOOKUP(A50,Firearms!A2:Firearms!A253,Firearms!B2:B253),"")</f>
      </c>
      <c r="I50" s="63">
        <f>IF(A50&gt;0,LOOKUP(A50,Firearms!A2:Firearms!A253,Firearms!G2:G253),"")</f>
      </c>
      <c r="J50" s="77">
        <f t="shared" si="5"/>
      </c>
      <c r="K50" s="17">
        <f>IF(A50&gt;0,LOOKUP(A50,Firearms!A2:Firearms!A253,Firearms!H2:H253),"")</f>
      </c>
      <c r="L50" s="17">
        <f t="shared" si="6"/>
      </c>
      <c r="M50" s="63">
        <f>IF(A50&gt;0,LOOKUP(A50,Firearms!A2:Firearms!A253,Firearms!I2:I253),"")</f>
      </c>
      <c r="N50" s="80">
        <f t="shared" si="7"/>
      </c>
    </row>
    <row r="51" spans="1:14" ht="13.5" thickBot="1">
      <c r="A51" s="42"/>
      <c r="B51" s="40">
        <f>IF(A51&gt;0,LOOKUP(A51,Firearms!A2:Firearms!A253,Firearms!C2:C253),"")</f>
      </c>
      <c r="C51" s="40">
        <f>IF(A51&gt;0,LOOKUP(A51,Firearms!A2:Firearms!A253,Firearms!D2:D253),"")</f>
      </c>
      <c r="D51" s="87">
        <f>IF(A51&gt;0,LOOKUP(A51,Firearms!A2:Firearms!A253,Firearms!E2:E253),"")</f>
      </c>
      <c r="E51" s="88">
        <f t="shared" si="4"/>
      </c>
      <c r="F51" s="89">
        <f>IF(A51&gt;0,LOOKUP(A51,Firearms!A2:Firearms!A253,Firearms!F2:F253),"")</f>
      </c>
      <c r="G51" s="89"/>
      <c r="H51" s="89">
        <f>IF(A51&gt;0,LOOKUP(A51,Firearms!A2:Firearms!A253,Firearms!B2:B253),"")</f>
      </c>
      <c r="I51" s="87">
        <f>IF(A51&gt;0,LOOKUP(A51,Firearms!A2:Firearms!A253,Firearms!G2:G253),"")</f>
      </c>
      <c r="J51" s="88">
        <f t="shared" si="5"/>
      </c>
      <c r="K51" s="89">
        <f>IF(A51&gt;0,LOOKUP(A51,Firearms!A2:Firearms!A253,Firearms!H2:H253),"")</f>
      </c>
      <c r="L51" s="89">
        <f t="shared" si="6"/>
      </c>
      <c r="M51" s="87">
        <f>IF(A51&gt;0,LOOKUP(A51,Firearms!A2:Firearms!A253,Firearms!I2:I253),"")</f>
      </c>
      <c r="N51" s="90">
        <f t="shared" si="7"/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:O51"/>
    </sheetView>
  </sheetViews>
  <sheetFormatPr defaultColWidth="11.00390625" defaultRowHeight="12"/>
  <sheetData>
    <row r="1" spans="1:15" ht="12.75">
      <c r="A1" s="190" t="s">
        <v>315</v>
      </c>
      <c r="B1" s="67"/>
      <c r="C1" s="24" t="s">
        <v>528</v>
      </c>
      <c r="D1" s="67"/>
      <c r="E1" s="184">
        <f>CharSheetFront!E15</f>
        <v>12</v>
      </c>
      <c r="F1" s="67" t="s">
        <v>956</v>
      </c>
      <c r="G1" s="101"/>
      <c r="H1" s="185">
        <f>CharSheetFront!E16</f>
        <v>12</v>
      </c>
      <c r="I1" s="48"/>
      <c r="J1" s="24" t="s">
        <v>149</v>
      </c>
      <c r="K1" s="47"/>
      <c r="L1" s="25" t="s">
        <v>729</v>
      </c>
      <c r="M1" s="25" t="s">
        <v>1016</v>
      </c>
      <c r="N1" s="25" t="s">
        <v>798</v>
      </c>
      <c r="O1" s="26" t="s">
        <v>946</v>
      </c>
    </row>
    <row r="2" spans="1:15" ht="12.75">
      <c r="A2" s="222"/>
      <c r="B2" s="16"/>
      <c r="C2" s="27"/>
      <c r="D2" s="2"/>
      <c r="E2" s="2"/>
      <c r="F2" s="120" t="s">
        <v>588</v>
      </c>
      <c r="G2" s="121"/>
      <c r="H2" s="186"/>
      <c r="I2" s="69"/>
      <c r="J2" s="53"/>
      <c r="K2" s="225"/>
      <c r="L2" s="13"/>
      <c r="M2" s="13">
        <f>IF(J2&gt;0,LOOKUP(J2,Skills!A2:A419,Skills!B2:B419),"")</f>
      </c>
      <c r="N2" s="10">
        <f>IF(J2&gt;0,P2,"")</f>
      </c>
      <c r="O2" s="57">
        <f>IF(J2&gt;0,L2+N2,"")</f>
      </c>
    </row>
    <row r="3" spans="1:15" ht="12.75">
      <c r="A3" s="220"/>
      <c r="B3" s="188"/>
      <c r="C3" s="27"/>
      <c r="D3" s="2"/>
      <c r="E3" s="2"/>
      <c r="F3" s="122"/>
      <c r="G3" s="9"/>
      <c r="H3" s="70"/>
      <c r="I3" s="69"/>
      <c r="J3" s="53"/>
      <c r="K3" s="225"/>
      <c r="L3" s="13"/>
      <c r="M3" s="13">
        <f>IF(J3&gt;0,LOOKUP(J3,Skills!A2:A419,Skills!B2:B419),"")</f>
      </c>
      <c r="N3" s="10">
        <f aca="true" t="shared" si="0" ref="N3:N18">IF(J3&gt;0,P3,"")</f>
      </c>
      <c r="O3" s="57">
        <f aca="true" t="shared" si="1" ref="O3:O18">IF(J3&gt;0,L3+N3,"")</f>
      </c>
    </row>
    <row r="4" spans="1:15" ht="12.75">
      <c r="A4" s="222"/>
      <c r="B4" s="2"/>
      <c r="C4" s="27"/>
      <c r="D4" s="2"/>
      <c r="E4" s="2"/>
      <c r="F4" s="1"/>
      <c r="G4" s="2"/>
      <c r="H4" s="70"/>
      <c r="I4" s="2"/>
      <c r="J4" s="53"/>
      <c r="K4" s="225"/>
      <c r="L4" s="13"/>
      <c r="M4" s="13">
        <f>IF(J4&gt;0,LOOKUP(J4,Skills!A2:A419,Skills!B2:B419),"")</f>
      </c>
      <c r="N4" s="10">
        <f t="shared" si="0"/>
      </c>
      <c r="O4" s="57">
        <f t="shared" si="1"/>
      </c>
    </row>
    <row r="5" spans="1:15" ht="12.75">
      <c r="A5" s="220"/>
      <c r="B5" s="188"/>
      <c r="C5" s="126"/>
      <c r="D5" s="9"/>
      <c r="E5" s="9"/>
      <c r="F5" s="123"/>
      <c r="G5" s="10"/>
      <c r="H5" s="57"/>
      <c r="I5" s="9"/>
      <c r="J5" s="53"/>
      <c r="K5" s="225"/>
      <c r="L5" s="13"/>
      <c r="M5" s="13">
        <f>IF(J5&gt;0,LOOKUP(J5,Skills!A2:A419,Skills!B2:B419),"")</f>
      </c>
      <c r="N5" s="10">
        <f t="shared" si="0"/>
      </c>
      <c r="O5" s="57">
        <f t="shared" si="1"/>
      </c>
    </row>
    <row r="6" spans="1:15" ht="13.5" thickBot="1">
      <c r="A6" s="221"/>
      <c r="B6" s="164"/>
      <c r="C6" s="187"/>
      <c r="D6" s="89"/>
      <c r="E6" s="89"/>
      <c r="F6" s="89"/>
      <c r="G6" s="89"/>
      <c r="H6" s="90"/>
      <c r="I6" s="14"/>
      <c r="J6" s="133"/>
      <c r="K6" s="226"/>
      <c r="L6" s="135"/>
      <c r="M6" s="135">
        <f>IF(J6&gt;0,LOOKUP(J6,Skills!A2:A419,Skills!B2:B419),"")</f>
      </c>
      <c r="N6" s="10">
        <f t="shared" si="0"/>
      </c>
      <c r="O6" s="57">
        <f t="shared" si="1"/>
      </c>
    </row>
    <row r="7" spans="1:15" ht="13.5" thickBot="1">
      <c r="A7" s="220"/>
      <c r="B7" s="188"/>
      <c r="C7" s="17"/>
      <c r="D7" s="17"/>
      <c r="I7" s="14"/>
      <c r="J7" s="53"/>
      <c r="K7" s="225"/>
      <c r="L7" s="13"/>
      <c r="M7" s="13">
        <f>IF(J7&gt;0,LOOKUP(J7,Skills!A2:A419,Skills!B2:B419),"")</f>
      </c>
      <c r="N7" s="10">
        <f t="shared" si="0"/>
      </c>
      <c r="O7" s="57">
        <f t="shared" si="1"/>
      </c>
    </row>
    <row r="8" spans="1:15" ht="12.75">
      <c r="A8" s="221"/>
      <c r="B8" s="164"/>
      <c r="C8" s="203" t="s">
        <v>551</v>
      </c>
      <c r="D8" s="93"/>
      <c r="E8" s="47"/>
      <c r="F8" s="47"/>
      <c r="G8" s="47"/>
      <c r="H8" s="119"/>
      <c r="I8" s="14"/>
      <c r="J8" s="133"/>
      <c r="K8" s="227"/>
      <c r="L8" s="135"/>
      <c r="M8" s="135">
        <f>IF(J8&gt;0,LOOKUP(J8,Skills!A2:A419,Skills!B2:B419),"")</f>
      </c>
      <c r="N8" s="10">
        <f t="shared" si="0"/>
      </c>
      <c r="O8" s="57">
        <f t="shared" si="1"/>
      </c>
    </row>
    <row r="9" spans="1:15" ht="12.75">
      <c r="A9" s="220"/>
      <c r="B9" s="188"/>
      <c r="C9" s="204" t="s">
        <v>350</v>
      </c>
      <c r="D9" s="84"/>
      <c r="E9" s="198" t="s">
        <v>353</v>
      </c>
      <c r="F9" s="84"/>
      <c r="G9" s="2" t="s">
        <v>145</v>
      </c>
      <c r="H9" s="86"/>
      <c r="I9" s="14"/>
      <c r="J9" s="59"/>
      <c r="K9" s="228"/>
      <c r="L9" s="13"/>
      <c r="M9" s="13">
        <f>IF(J9&gt;0,LOOKUP(J9,Skills!A2:A419,Skills!B2:B419),"")</f>
      </c>
      <c r="N9" s="10">
        <f t="shared" si="0"/>
      </c>
      <c r="O9" s="57">
        <f t="shared" si="1"/>
      </c>
    </row>
    <row r="10" spans="1:15" ht="12.75">
      <c r="A10" s="221"/>
      <c r="B10" s="164"/>
      <c r="C10" s="204" t="s">
        <v>351</v>
      </c>
      <c r="D10" s="84"/>
      <c r="E10" s="198" t="s">
        <v>143</v>
      </c>
      <c r="F10" s="84"/>
      <c r="G10" s="198" t="s">
        <v>146</v>
      </c>
      <c r="H10" s="86"/>
      <c r="I10" s="14"/>
      <c r="J10" s="137"/>
      <c r="K10" s="227"/>
      <c r="L10" s="135"/>
      <c r="M10" s="135">
        <f>IF(J10&gt;0,LOOKUP(J10,Skills!A2:A419,Skills!B2:B419),"")</f>
      </c>
      <c r="N10" s="10">
        <f t="shared" si="0"/>
      </c>
      <c r="O10" s="57">
        <f t="shared" si="1"/>
      </c>
    </row>
    <row r="11" spans="1:15" ht="12.75">
      <c r="A11" s="220"/>
      <c r="B11" s="188"/>
      <c r="C11" s="204" t="s">
        <v>352</v>
      </c>
      <c r="D11" s="84"/>
      <c r="E11" s="198" t="s">
        <v>144</v>
      </c>
      <c r="F11" s="84"/>
      <c r="G11" s="198" t="s">
        <v>147</v>
      </c>
      <c r="H11" s="86"/>
      <c r="I11" s="14"/>
      <c r="J11" s="59"/>
      <c r="K11" s="225"/>
      <c r="L11" s="10"/>
      <c r="M11" s="10">
        <f>IF(J11&gt;0,LOOKUP(J11,Skills!A2:A419,Skills!B2:B419),"")</f>
      </c>
      <c r="N11" s="10">
        <f t="shared" si="0"/>
      </c>
      <c r="O11" s="57">
        <f t="shared" si="1"/>
      </c>
    </row>
    <row r="12" spans="1:15" ht="12.75">
      <c r="A12" s="193"/>
      <c r="B12" s="188"/>
      <c r="C12" s="27"/>
      <c r="D12" s="198"/>
      <c r="E12" s="198"/>
      <c r="F12" s="198"/>
      <c r="G12" s="198"/>
      <c r="H12" s="205"/>
      <c r="I12" s="14"/>
      <c r="J12" s="137"/>
      <c r="K12" s="226"/>
      <c r="L12" s="138"/>
      <c r="M12" s="138">
        <f>IF(J12&gt;0,LOOKUP(J12,Skills!A2:A419,Skills!B2:B419),"")</f>
      </c>
      <c r="N12" s="10">
        <f t="shared" si="0"/>
      </c>
      <c r="O12" s="57">
        <f t="shared" si="1"/>
      </c>
    </row>
    <row r="13" spans="1:15" ht="12.75">
      <c r="A13" s="220"/>
      <c r="B13" s="188"/>
      <c r="C13" s="206" t="s">
        <v>349</v>
      </c>
      <c r="D13" s="200"/>
      <c r="E13" s="200"/>
      <c r="F13" s="200"/>
      <c r="G13" s="200"/>
      <c r="H13" s="207"/>
      <c r="I13" s="14"/>
      <c r="J13" s="59"/>
      <c r="K13" s="225"/>
      <c r="L13" s="10"/>
      <c r="M13" s="10">
        <f>IF(J13&gt;0,LOOKUP(J13,Skills!A2:A419,Skills!B2:B419),"")</f>
      </c>
      <c r="N13" s="10">
        <f t="shared" si="0"/>
      </c>
      <c r="O13" s="57">
        <f t="shared" si="1"/>
      </c>
    </row>
    <row r="14" spans="1:15" ht="12.75">
      <c r="A14" s="221"/>
      <c r="B14" s="164"/>
      <c r="C14" s="208"/>
      <c r="D14" s="199"/>
      <c r="E14" s="199"/>
      <c r="F14" s="199"/>
      <c r="G14" s="199"/>
      <c r="H14" s="205"/>
      <c r="I14" s="14"/>
      <c r="J14" s="137"/>
      <c r="K14" s="226"/>
      <c r="L14" s="138"/>
      <c r="M14" s="138">
        <f>IF(J14&gt;0,LOOKUP(J14,Skills!A2:A419,Skills!B2:B419),"")</f>
      </c>
      <c r="N14" s="10">
        <f t="shared" si="0"/>
      </c>
      <c r="O14" s="57">
        <f t="shared" si="1"/>
      </c>
    </row>
    <row r="15" spans="1:15" ht="12.75">
      <c r="A15" s="220"/>
      <c r="B15" s="188"/>
      <c r="C15" s="59"/>
      <c r="D15" s="201"/>
      <c r="E15" s="201"/>
      <c r="F15" s="201"/>
      <c r="G15" s="201"/>
      <c r="H15" s="209"/>
      <c r="I15" s="14"/>
      <c r="J15" s="59"/>
      <c r="K15" s="225"/>
      <c r="L15" s="10"/>
      <c r="M15" s="10">
        <f>IF(J15&gt;0,LOOKUP(J15,Skills!A2:A419,Skills!B2:B419),"")</f>
      </c>
      <c r="N15" s="10">
        <f t="shared" si="0"/>
      </c>
      <c r="O15" s="57">
        <f t="shared" si="1"/>
      </c>
    </row>
    <row r="16" spans="1:15" ht="12.75">
      <c r="A16" s="221"/>
      <c r="B16" s="164"/>
      <c r="C16" s="206" t="s">
        <v>148</v>
      </c>
      <c r="D16" s="202"/>
      <c r="E16" s="202"/>
      <c r="F16" s="202"/>
      <c r="G16" s="202"/>
      <c r="H16" s="207"/>
      <c r="I16" s="14"/>
      <c r="J16" s="137"/>
      <c r="K16" s="226"/>
      <c r="L16" s="138"/>
      <c r="M16" s="138">
        <f>IF(J16&gt;0,LOOKUP(J16,Skills!A2:A419,Skills!B2:B419),"")</f>
      </c>
      <c r="N16" s="10">
        <f t="shared" si="0"/>
      </c>
      <c r="O16" s="57">
        <f t="shared" si="1"/>
      </c>
    </row>
    <row r="17" spans="1:15" ht="13.5" thickBot="1">
      <c r="A17" s="223"/>
      <c r="B17" s="188"/>
      <c r="C17" s="204"/>
      <c r="D17" s="198"/>
      <c r="E17" s="198"/>
      <c r="F17" s="198"/>
      <c r="G17" s="198"/>
      <c r="H17" s="205"/>
      <c r="I17" s="14"/>
      <c r="J17" s="59"/>
      <c r="K17" s="225"/>
      <c r="L17" s="10"/>
      <c r="M17" s="10">
        <f>IF(J17&gt;0,LOOKUP(J17,Skills!A2:A419,Skills!B2:B419),"")</f>
      </c>
      <c r="N17" s="10">
        <f t="shared" si="0"/>
      </c>
      <c r="O17" s="57">
        <f t="shared" si="1"/>
      </c>
    </row>
    <row r="18" spans="1:15" ht="13.5" thickBot="1">
      <c r="A18" s="195" t="s">
        <v>547</v>
      </c>
      <c r="B18" s="164"/>
      <c r="C18" s="210"/>
      <c r="D18" s="211"/>
      <c r="E18" s="211"/>
      <c r="F18" s="211"/>
      <c r="G18" s="211"/>
      <c r="H18" s="212"/>
      <c r="I18" s="14"/>
      <c r="J18" s="29"/>
      <c r="K18" s="229"/>
      <c r="L18" s="30"/>
      <c r="M18" s="30">
        <f>IF(J18&gt;0,LOOKUP(J18,Skills!A2:A419,Skills!B2:B419),"")</f>
      </c>
      <c r="N18" s="30">
        <f t="shared" si="0"/>
      </c>
      <c r="O18" s="31">
        <f t="shared" si="1"/>
      </c>
    </row>
    <row r="19" spans="1:15" ht="13.5" thickBot="1">
      <c r="A19" s="220"/>
      <c r="B19" s="188"/>
      <c r="C19" s="198"/>
      <c r="D19" s="198"/>
      <c r="E19" s="198"/>
      <c r="F19" s="198"/>
      <c r="G19" s="198"/>
      <c r="H19" s="198"/>
      <c r="I19" s="14"/>
      <c r="J19" s="2"/>
      <c r="K19" s="69"/>
      <c r="L19" s="2"/>
      <c r="M19" s="2"/>
      <c r="N19" s="69"/>
      <c r="O19" s="2"/>
    </row>
    <row r="20" spans="1:15" ht="12.75">
      <c r="A20" s="224"/>
      <c r="B20" s="164"/>
      <c r="C20" s="132" t="s">
        <v>795</v>
      </c>
      <c r="D20" s="213"/>
      <c r="E20" s="213"/>
      <c r="F20" s="213"/>
      <c r="G20" s="213"/>
      <c r="H20" s="214"/>
      <c r="I20" s="17"/>
      <c r="J20" s="196" t="s">
        <v>589</v>
      </c>
      <c r="K20" s="48"/>
      <c r="L20" s="47"/>
      <c r="M20" s="47"/>
      <c r="N20" s="48"/>
      <c r="O20" s="119"/>
    </row>
    <row r="21" spans="1:15" ht="12.75">
      <c r="A21" s="220"/>
      <c r="B21" s="188"/>
      <c r="C21" s="204"/>
      <c r="D21" s="198"/>
      <c r="E21" s="198"/>
      <c r="F21" s="198"/>
      <c r="G21" s="198"/>
      <c r="H21" s="205"/>
      <c r="I21" s="17"/>
      <c r="J21" s="27"/>
      <c r="K21" s="69"/>
      <c r="L21" s="2"/>
      <c r="M21" s="2"/>
      <c r="N21" s="69"/>
      <c r="O21" s="70"/>
    </row>
    <row r="22" spans="1:15" ht="12.75">
      <c r="A22" s="222"/>
      <c r="B22" s="2"/>
      <c r="C22" s="208"/>
      <c r="D22" s="199"/>
      <c r="E22" s="199"/>
      <c r="F22" s="199"/>
      <c r="G22" s="199"/>
      <c r="H22" s="215"/>
      <c r="I22" s="2"/>
      <c r="J22" s="59"/>
      <c r="K22" s="124"/>
      <c r="L22" s="4"/>
      <c r="M22" s="4"/>
      <c r="N22" s="124"/>
      <c r="O22" s="125"/>
    </row>
    <row r="23" spans="1:15" ht="12.75">
      <c r="A23" s="220"/>
      <c r="B23" s="188"/>
      <c r="C23" s="95"/>
      <c r="D23" s="116"/>
      <c r="E23" s="116"/>
      <c r="F23" s="116"/>
      <c r="G23" s="116"/>
      <c r="H23" s="216"/>
      <c r="I23" s="8"/>
      <c r="J23" s="27"/>
      <c r="K23" s="2"/>
      <c r="L23" s="16"/>
      <c r="M23" s="2"/>
      <c r="N23" s="2"/>
      <c r="O23" s="70"/>
    </row>
    <row r="24" spans="1:15" ht="12.75">
      <c r="A24" s="222"/>
      <c r="B24" s="2"/>
      <c r="C24" s="208"/>
      <c r="D24" s="199"/>
      <c r="E24" s="199"/>
      <c r="F24" s="199"/>
      <c r="G24" s="199"/>
      <c r="H24" s="215"/>
      <c r="I24" s="9"/>
      <c r="J24" s="59"/>
      <c r="K24" s="124"/>
      <c r="L24" s="4"/>
      <c r="M24" s="4"/>
      <c r="N24" s="124"/>
      <c r="O24" s="125"/>
    </row>
    <row r="25" spans="1:15" ht="12.75">
      <c r="A25" s="220"/>
      <c r="B25" s="188"/>
      <c r="C25" s="208"/>
      <c r="D25" s="199"/>
      <c r="E25" s="199"/>
      <c r="F25" s="199"/>
      <c r="G25" s="199"/>
      <c r="H25" s="215"/>
      <c r="I25" s="9"/>
      <c r="J25" s="27"/>
      <c r="K25" s="2"/>
      <c r="L25" s="115"/>
      <c r="M25" s="2"/>
      <c r="N25" s="65"/>
      <c r="O25" s="28"/>
    </row>
    <row r="26" spans="1:15" ht="12.75">
      <c r="A26" s="222"/>
      <c r="B26" s="2"/>
      <c r="C26" s="208"/>
      <c r="D26" s="199"/>
      <c r="E26" s="199"/>
      <c r="F26" s="199"/>
      <c r="G26" s="199"/>
      <c r="H26" s="215"/>
      <c r="I26" s="2"/>
      <c r="J26" s="59"/>
      <c r="K26" s="124"/>
      <c r="L26" s="4"/>
      <c r="M26" s="4"/>
      <c r="N26" s="124"/>
      <c r="O26" s="125"/>
    </row>
    <row r="27" spans="1:15" ht="12.75">
      <c r="A27" s="220"/>
      <c r="B27" s="188"/>
      <c r="C27" s="95"/>
      <c r="D27" s="116"/>
      <c r="E27" s="115"/>
      <c r="F27" s="115"/>
      <c r="G27" s="115"/>
      <c r="H27" s="216"/>
      <c r="I27" s="16"/>
      <c r="J27" s="27"/>
      <c r="K27" s="2"/>
      <c r="L27" s="115"/>
      <c r="M27" s="2"/>
      <c r="N27" s="65"/>
      <c r="O27" s="28"/>
    </row>
    <row r="28" spans="1:15" ht="12.75">
      <c r="A28" s="222"/>
      <c r="B28" s="2"/>
      <c r="C28" s="27"/>
      <c r="D28" s="2"/>
      <c r="E28" s="9"/>
      <c r="F28" s="65"/>
      <c r="G28" s="65"/>
      <c r="H28" s="28"/>
      <c r="I28" s="9"/>
      <c r="J28" s="59"/>
      <c r="K28" s="124"/>
      <c r="L28" s="4"/>
      <c r="M28" s="4"/>
      <c r="N28" s="124"/>
      <c r="O28" s="125"/>
    </row>
    <row r="29" spans="1:15" ht="13.5" thickBot="1">
      <c r="A29" s="223"/>
      <c r="B29" s="188"/>
      <c r="C29" s="27"/>
      <c r="D29" s="17"/>
      <c r="E29" s="17"/>
      <c r="F29" s="17"/>
      <c r="G29" s="65"/>
      <c r="H29" s="28"/>
      <c r="I29" s="9"/>
      <c r="J29" s="27"/>
      <c r="K29" s="2"/>
      <c r="L29" s="2"/>
      <c r="M29" s="2"/>
      <c r="N29" s="65"/>
      <c r="O29" s="28"/>
    </row>
    <row r="30" spans="1:15" ht="12.75">
      <c r="A30" s="195" t="s">
        <v>548</v>
      </c>
      <c r="B30" s="2"/>
      <c r="C30" s="27"/>
      <c r="D30" s="2"/>
      <c r="E30" s="2"/>
      <c r="F30" s="2"/>
      <c r="G30" s="2"/>
      <c r="H30" s="70"/>
      <c r="I30" s="2"/>
      <c r="J30" s="59"/>
      <c r="K30" s="124"/>
      <c r="L30" s="4"/>
      <c r="M30" s="4"/>
      <c r="N30" s="124"/>
      <c r="O30" s="125"/>
    </row>
    <row r="31" spans="1:15" ht="12.75">
      <c r="A31" s="220"/>
      <c r="B31" s="188"/>
      <c r="C31" s="100"/>
      <c r="D31" s="115"/>
      <c r="E31" s="115"/>
      <c r="F31" s="118"/>
      <c r="G31" s="118"/>
      <c r="H31" s="127"/>
      <c r="I31" s="16"/>
      <c r="J31" s="27"/>
      <c r="K31" s="2"/>
      <c r="L31" s="2"/>
      <c r="M31" s="2"/>
      <c r="N31" s="2"/>
      <c r="O31" s="70"/>
    </row>
    <row r="32" spans="1:15" ht="12.75">
      <c r="A32" s="224"/>
      <c r="B32" s="2"/>
      <c r="C32" s="126"/>
      <c r="D32" s="9"/>
      <c r="E32" s="9"/>
      <c r="F32" s="9"/>
      <c r="G32" s="65"/>
      <c r="H32" s="28"/>
      <c r="I32" s="9"/>
      <c r="J32" s="59"/>
      <c r="K32" s="124"/>
      <c r="L32" s="4"/>
      <c r="M32" s="4"/>
      <c r="N32" s="124"/>
      <c r="O32" s="125"/>
    </row>
    <row r="33" spans="1:15" ht="12.75">
      <c r="A33" s="220"/>
      <c r="B33" s="188"/>
      <c r="C33" s="128"/>
      <c r="D33" s="12"/>
      <c r="E33" s="12"/>
      <c r="F33" s="12"/>
      <c r="G33" s="113"/>
      <c r="H33" s="35"/>
      <c r="I33" s="12"/>
      <c r="J33" s="126"/>
      <c r="K33" s="8"/>
      <c r="L33" s="9"/>
      <c r="M33" s="8"/>
      <c r="N33" s="9"/>
      <c r="O33" s="105"/>
    </row>
    <row r="34" spans="1:15" ht="12.75">
      <c r="A34" s="222"/>
      <c r="B34" s="2"/>
      <c r="C34" s="126"/>
      <c r="D34" s="9"/>
      <c r="E34" s="9"/>
      <c r="F34" s="9"/>
      <c r="G34" s="65"/>
      <c r="H34" s="28"/>
      <c r="I34" s="12"/>
      <c r="J34" s="59"/>
      <c r="K34" s="124"/>
      <c r="L34" s="4"/>
      <c r="M34" s="4"/>
      <c r="N34" s="124"/>
      <c r="O34" s="125"/>
    </row>
    <row r="35" spans="1:15" ht="12.75">
      <c r="A35" s="220"/>
      <c r="B35" s="188"/>
      <c r="C35" s="128"/>
      <c r="D35" s="12"/>
      <c r="E35" s="12"/>
      <c r="F35" s="12"/>
      <c r="G35" s="113"/>
      <c r="H35" s="35"/>
      <c r="I35" s="12"/>
      <c r="J35" s="27"/>
      <c r="K35" s="2"/>
      <c r="L35" s="115"/>
      <c r="M35" s="65"/>
      <c r="N35" s="117"/>
      <c r="O35" s="28"/>
    </row>
    <row r="36" spans="1:15" ht="12.75">
      <c r="A36" s="222"/>
      <c r="B36" s="11"/>
      <c r="C36" s="128"/>
      <c r="D36" s="12"/>
      <c r="E36" s="12"/>
      <c r="F36" s="12"/>
      <c r="G36" s="113"/>
      <c r="H36" s="35"/>
      <c r="I36" s="12"/>
      <c r="J36" s="59"/>
      <c r="K36" s="124"/>
      <c r="L36" s="4"/>
      <c r="M36" s="4"/>
      <c r="N36" s="124"/>
      <c r="O36" s="125"/>
    </row>
    <row r="37" spans="1:15" ht="12.75">
      <c r="A37" s="220"/>
      <c r="B37" s="188"/>
      <c r="C37" s="128"/>
      <c r="D37" s="12"/>
      <c r="E37" s="12"/>
      <c r="F37" s="12"/>
      <c r="G37" s="113"/>
      <c r="H37" s="35"/>
      <c r="I37" s="12"/>
      <c r="J37" s="27"/>
      <c r="K37" s="2"/>
      <c r="L37" s="115"/>
      <c r="M37" s="65"/>
      <c r="N37" s="117"/>
      <c r="O37" s="28"/>
    </row>
    <row r="38" spans="1:15" ht="12.75">
      <c r="A38" s="222"/>
      <c r="B38" s="11"/>
      <c r="C38" s="128"/>
      <c r="D38" s="12"/>
      <c r="E38" s="12"/>
      <c r="F38" s="12"/>
      <c r="G38" s="113"/>
      <c r="H38" s="35"/>
      <c r="I38" s="2"/>
      <c r="J38" s="59"/>
      <c r="K38" s="124"/>
      <c r="L38" s="4"/>
      <c r="M38" s="4"/>
      <c r="N38" s="124"/>
      <c r="O38" s="125"/>
    </row>
    <row r="39" spans="1:15" ht="12.75">
      <c r="A39" s="220"/>
      <c r="B39" s="188"/>
      <c r="C39" s="128"/>
      <c r="D39" s="12"/>
      <c r="E39" s="12"/>
      <c r="F39" s="14"/>
      <c r="G39" s="14"/>
      <c r="H39" s="129"/>
      <c r="I39" s="14"/>
      <c r="J39" s="27"/>
      <c r="K39" s="2"/>
      <c r="L39" s="115"/>
      <c r="M39" s="65"/>
      <c r="N39" s="117"/>
      <c r="O39" s="28"/>
    </row>
    <row r="40" spans="1:15" ht="12.75">
      <c r="A40" s="222"/>
      <c r="B40" s="11"/>
      <c r="C40" s="128"/>
      <c r="D40" s="12"/>
      <c r="E40" s="12"/>
      <c r="F40" s="78"/>
      <c r="G40" s="17"/>
      <c r="H40" s="130"/>
      <c r="I40" s="78"/>
      <c r="J40" s="59"/>
      <c r="K40" s="124"/>
      <c r="L40" s="4"/>
      <c r="M40" s="4"/>
      <c r="N40" s="124"/>
      <c r="O40" s="125"/>
    </row>
    <row r="41" spans="1:15" ht="13.5" thickBot="1">
      <c r="A41" s="223"/>
      <c r="B41" s="188"/>
      <c r="C41" s="128"/>
      <c r="D41" s="12"/>
      <c r="E41" s="12"/>
      <c r="F41" s="17"/>
      <c r="G41" s="17"/>
      <c r="H41" s="130"/>
      <c r="I41" s="78"/>
      <c r="J41" s="27"/>
      <c r="K41" s="2"/>
      <c r="L41" s="115"/>
      <c r="M41" s="65"/>
      <c r="N41" s="117"/>
      <c r="O41" s="28"/>
    </row>
    <row r="42" spans="1:15" ht="12.75">
      <c r="A42" s="197" t="s">
        <v>549</v>
      </c>
      <c r="B42" s="11"/>
      <c r="C42" s="128"/>
      <c r="D42" s="12"/>
      <c r="E42" s="12"/>
      <c r="F42" s="17"/>
      <c r="G42" s="17"/>
      <c r="H42" s="80"/>
      <c r="I42" s="17"/>
      <c r="J42" s="59"/>
      <c r="K42" s="124"/>
      <c r="L42" s="4"/>
      <c r="M42" s="4"/>
      <c r="N42" s="124"/>
      <c r="O42" s="125"/>
    </row>
    <row r="43" spans="1:15" ht="12.75">
      <c r="A43" s="191"/>
      <c r="B43" s="188"/>
      <c r="C43" s="128"/>
      <c r="D43" s="12"/>
      <c r="E43" s="12"/>
      <c r="F43" s="17"/>
      <c r="G43" s="17"/>
      <c r="H43" s="80"/>
      <c r="I43" s="17"/>
      <c r="J43" s="27"/>
      <c r="K43" s="2"/>
      <c r="L43" s="115"/>
      <c r="M43" s="65"/>
      <c r="N43" s="117"/>
      <c r="O43" s="28"/>
    </row>
    <row r="44" spans="1:15" ht="12.75">
      <c r="A44" s="192"/>
      <c r="B44" s="11"/>
      <c r="C44" s="34"/>
      <c r="D44" s="11"/>
      <c r="E44" s="11"/>
      <c r="F44" s="91"/>
      <c r="G44" s="91"/>
      <c r="H44" s="92"/>
      <c r="I44" s="91"/>
      <c r="J44" s="59"/>
      <c r="K44" s="124"/>
      <c r="L44" s="4"/>
      <c r="M44" s="4"/>
      <c r="N44" s="124"/>
      <c r="O44" s="125"/>
    </row>
    <row r="45" spans="1:15" ht="12.75">
      <c r="A45" s="191"/>
      <c r="B45" s="188"/>
      <c r="C45" s="128"/>
      <c r="D45" s="12"/>
      <c r="E45" s="12"/>
      <c r="F45" s="17"/>
      <c r="G45" s="17"/>
      <c r="H45" s="80"/>
      <c r="I45" s="17"/>
      <c r="J45" s="27"/>
      <c r="K45" s="2"/>
      <c r="L45" s="115"/>
      <c r="M45" s="65"/>
      <c r="N45" s="117"/>
      <c r="O45" s="28"/>
    </row>
    <row r="46" spans="1:15" ht="13.5" thickBot="1">
      <c r="A46" s="194"/>
      <c r="B46" s="189"/>
      <c r="C46" s="131"/>
      <c r="D46" s="14"/>
      <c r="E46" s="14"/>
      <c r="F46" s="78"/>
      <c r="G46" s="17"/>
      <c r="H46" s="130"/>
      <c r="I46" s="78"/>
      <c r="J46" s="59"/>
      <c r="K46" s="124"/>
      <c r="L46" s="4"/>
      <c r="M46" s="4"/>
      <c r="N46" s="124"/>
      <c r="O46" s="125"/>
    </row>
    <row r="47" spans="1:15" ht="12.75">
      <c r="A47" s="197" t="s">
        <v>550</v>
      </c>
      <c r="B47" s="188"/>
      <c r="C47" s="131"/>
      <c r="D47" s="14"/>
      <c r="E47" s="14"/>
      <c r="F47" s="78"/>
      <c r="G47" s="17"/>
      <c r="H47" s="130"/>
      <c r="I47" s="78"/>
      <c r="J47" s="27"/>
      <c r="K47" s="2"/>
      <c r="L47" s="115"/>
      <c r="M47" s="65"/>
      <c r="N47" s="117"/>
      <c r="O47" s="28"/>
    </row>
    <row r="48" spans="1:15" ht="12.75">
      <c r="A48" s="193"/>
      <c r="B48" s="189"/>
      <c r="C48" s="131"/>
      <c r="D48" s="14"/>
      <c r="E48" s="14"/>
      <c r="F48" s="17"/>
      <c r="G48" s="17"/>
      <c r="H48" s="80"/>
      <c r="I48" s="17"/>
      <c r="J48" s="59"/>
      <c r="K48" s="124"/>
      <c r="L48" s="4"/>
      <c r="M48" s="4"/>
      <c r="N48" s="124"/>
      <c r="O48" s="125"/>
    </row>
    <row r="49" spans="1:15" ht="12.75">
      <c r="A49" s="191"/>
      <c r="B49" s="188"/>
      <c r="C49" s="131"/>
      <c r="D49" s="14"/>
      <c r="E49" s="14"/>
      <c r="F49" s="17"/>
      <c r="G49" s="17"/>
      <c r="H49" s="80"/>
      <c r="I49" s="17"/>
      <c r="J49" s="27"/>
      <c r="K49" s="2"/>
      <c r="L49" s="115"/>
      <c r="M49" s="65"/>
      <c r="N49" s="117"/>
      <c r="O49" s="28"/>
    </row>
    <row r="50" spans="1:15" ht="12.75">
      <c r="A50" s="193"/>
      <c r="B50" s="189"/>
      <c r="C50" s="131"/>
      <c r="D50" s="14"/>
      <c r="E50" s="14"/>
      <c r="F50" s="17"/>
      <c r="G50" s="17"/>
      <c r="H50" s="80"/>
      <c r="I50" s="17"/>
      <c r="J50" s="27"/>
      <c r="K50" s="69"/>
      <c r="L50" s="2"/>
      <c r="M50" s="2"/>
      <c r="N50" s="69"/>
      <c r="O50" s="70"/>
    </row>
    <row r="51" spans="1:15" ht="13.5" thickBot="1">
      <c r="A51" s="194"/>
      <c r="B51" s="33"/>
      <c r="C51" s="29"/>
      <c r="D51" s="33"/>
      <c r="E51" s="33"/>
      <c r="F51" s="33"/>
      <c r="G51" s="33"/>
      <c r="H51" s="108"/>
      <c r="I51" s="33"/>
      <c r="J51" s="29"/>
      <c r="K51" s="217"/>
      <c r="L51" s="33"/>
      <c r="M51" s="33"/>
      <c r="N51" s="217"/>
      <c r="O51" s="10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A1" sqref="A1"/>
    </sheetView>
  </sheetViews>
  <sheetFormatPr defaultColWidth="11.00390625" defaultRowHeight="12"/>
  <cols>
    <col min="1" max="1" width="19.00390625" style="0" customWidth="1"/>
    <col min="2" max="2" width="1.875" style="0" customWidth="1"/>
    <col min="8" max="8" width="12.875" style="0" customWidth="1"/>
    <col min="9" max="9" width="1.875" style="0" customWidth="1"/>
    <col min="10" max="10" width="16.875" style="0" customWidth="1"/>
    <col min="12" max="12" width="6.875" style="0" customWidth="1"/>
    <col min="13" max="13" width="16.875" style="0" customWidth="1"/>
    <col min="14" max="15" width="6.875" style="0" customWidth="1"/>
  </cols>
  <sheetData>
    <row r="1" spans="1:31" ht="12.75">
      <c r="A1" s="190" t="s">
        <v>315</v>
      </c>
      <c r="B1" s="67"/>
      <c r="C1" s="24" t="s">
        <v>528</v>
      </c>
      <c r="D1" s="67"/>
      <c r="E1" s="243">
        <f>CharSheetFront!E15+CharSheetFront!E2</f>
        <v>14</v>
      </c>
      <c r="F1" s="67" t="s">
        <v>796</v>
      </c>
      <c r="G1" s="101"/>
      <c r="H1" s="244">
        <f>CharSheetFront!E7</f>
        <v>11</v>
      </c>
      <c r="I1" s="48"/>
      <c r="J1" s="24" t="s">
        <v>149</v>
      </c>
      <c r="K1" s="47"/>
      <c r="L1" s="25" t="s">
        <v>729</v>
      </c>
      <c r="M1" s="25" t="s">
        <v>1016</v>
      </c>
      <c r="N1" s="25" t="s">
        <v>798</v>
      </c>
      <c r="O1" s="26" t="s">
        <v>946</v>
      </c>
      <c r="P1" s="165"/>
      <c r="Q1" s="164" t="s">
        <v>408</v>
      </c>
      <c r="R1" s="164" t="s">
        <v>796</v>
      </c>
      <c r="S1" s="164" t="s">
        <v>410</v>
      </c>
      <c r="T1" s="164" t="s">
        <v>411</v>
      </c>
      <c r="U1" s="164" t="s">
        <v>849</v>
      </c>
      <c r="V1" s="164" t="s">
        <v>1136</v>
      </c>
      <c r="W1" s="164" t="s">
        <v>953</v>
      </c>
      <c r="X1" s="164" t="s">
        <v>907</v>
      </c>
      <c r="Y1" s="164" t="s">
        <v>910</v>
      </c>
      <c r="Z1" s="164" t="s">
        <v>956</v>
      </c>
      <c r="AA1" s="164" t="s">
        <v>797</v>
      </c>
      <c r="AB1" s="164" t="s">
        <v>911</v>
      </c>
      <c r="AC1" s="164" t="s">
        <v>912</v>
      </c>
      <c r="AD1" s="164" t="s">
        <v>913</v>
      </c>
      <c r="AE1" s="164" t="s">
        <v>946</v>
      </c>
    </row>
    <row r="2" spans="1:31" ht="12.75">
      <c r="A2" s="222"/>
      <c r="B2" s="16"/>
      <c r="C2" s="68" t="s">
        <v>956</v>
      </c>
      <c r="D2" s="2"/>
      <c r="E2" s="245">
        <f>CharSheetFront!E16+CharSheetFront!E2</f>
        <v>14</v>
      </c>
      <c r="F2" s="16" t="s">
        <v>865</v>
      </c>
      <c r="G2" s="2"/>
      <c r="H2" s="246"/>
      <c r="I2" s="69"/>
      <c r="J2" s="55" t="s">
        <v>428</v>
      </c>
      <c r="K2" s="225" t="s">
        <v>1068</v>
      </c>
      <c r="L2" s="13">
        <v>6</v>
      </c>
      <c r="M2" s="230" t="str">
        <f>IF(J2&gt;0,LOOKUP(J2,Skills!$A$2:$A$419,Skills!$B$2:$B$419),"")</f>
        <v>Intelligence</v>
      </c>
      <c r="N2" s="10">
        <f>IF(J2&gt;0,P2,"")</f>
        <v>3</v>
      </c>
      <c r="O2" s="259" t="str">
        <f>IF(J2&gt;0,CharSheetFront!$T$22&amp;CharSheetBack!AE2,"")</f>
        <v>D20+9</v>
      </c>
      <c r="P2">
        <f>SUM(Q2:AD2)</f>
        <v>3</v>
      </c>
      <c r="Q2">
        <f>IF(M2=CharSheetFront!$A$6,CharSheetFront!$F$6,0)</f>
        <v>0</v>
      </c>
      <c r="R2">
        <f>IF(M2=CharSheetFront!$A$7,CharSheetFront!$F$7,0)</f>
        <v>0</v>
      </c>
      <c r="S2">
        <f>IF(M2=CharSheetFront!$A$8,CharSheetFront!$F$8,0)</f>
        <v>0</v>
      </c>
      <c r="T2">
        <f>IF(M2=CharSheetFront!$A$9,CharSheetFront!$F$9,0)</f>
        <v>0</v>
      </c>
      <c r="U2">
        <f>IF(M2=CharSheetFront!$A$10,CharSheetFront!$F$10,0)</f>
        <v>0</v>
      </c>
      <c r="V2">
        <f>IF(M2=CharSheetFront!$A$11,CharSheetFront!$F$11,0)</f>
        <v>0</v>
      </c>
      <c r="W2">
        <f>IF(M2=CharSheetFront!$A$13,CharSheetFront!$F$13,0)</f>
        <v>3</v>
      </c>
      <c r="X2">
        <f>IF(M2=CharSheetFront!$A$14,CharSheetFront!$F$14,0)</f>
        <v>0</v>
      </c>
      <c r="Y2">
        <f>IF(M2=CharSheetFront!$A$15,CharSheetFront!$F$15,0)</f>
        <v>0</v>
      </c>
      <c r="Z2">
        <f>IF(M2=CharSheetFront!$A$16,CharSheetFront!$F$16,0)</f>
        <v>0</v>
      </c>
      <c r="AA2">
        <f>IF(M2=CharSheetFront!$A$17,CharSheetFront!$F$17,0)</f>
        <v>0</v>
      </c>
      <c r="AB2">
        <f>IF(M2=CharSheetFront!$A$18,CharSheetFront!$F$18,0)</f>
        <v>0</v>
      </c>
      <c r="AC2">
        <f>IF(M2=CharSheetFront!$A$20,CharSheetFront!$F$20,0)</f>
        <v>0</v>
      </c>
      <c r="AD2">
        <f>IF(M2=CharSheetFront!$A$21,CharSheetFront!$F$21,0)</f>
        <v>0</v>
      </c>
      <c r="AE2">
        <f>L2+N2</f>
        <v>9</v>
      </c>
    </row>
    <row r="3" spans="1:31" ht="12.75">
      <c r="A3" s="220"/>
      <c r="B3" s="188"/>
      <c r="C3" s="247" t="s">
        <v>866</v>
      </c>
      <c r="D3" s="4"/>
      <c r="E3" s="248">
        <f>CharSheetFront!F16+CharSheetFront!E2</f>
        <v>3</v>
      </c>
      <c r="F3" s="16"/>
      <c r="G3" s="2"/>
      <c r="H3" s="246"/>
      <c r="I3" s="69"/>
      <c r="J3" s="55" t="s">
        <v>1069</v>
      </c>
      <c r="K3" s="225" t="s">
        <v>1070</v>
      </c>
      <c r="L3" s="13">
        <v>6</v>
      </c>
      <c r="M3" s="230" t="str">
        <f>IF(J3&gt;0,LOOKUP(J3,Skills!$A$2:$A$419,Skills!$B$2:$B$419),"")</f>
        <v>Intelligence</v>
      </c>
      <c r="N3" s="10">
        <f aca="true" t="shared" si="0" ref="N3:N11">IF(J3&gt;0,P3,"")</f>
        <v>3</v>
      </c>
      <c r="O3" s="259" t="str">
        <f>IF(J3&gt;0,CharSheetFront!$T$22&amp;CharSheetBack!AE3,"")</f>
        <v>D20+9</v>
      </c>
      <c r="P3">
        <f>SUM(Q3:AD3)</f>
        <v>3</v>
      </c>
      <c r="Q3">
        <f>IF(M3=CharSheetFront!$A$6,CharSheetFront!$F$6,0)</f>
        <v>0</v>
      </c>
      <c r="R3">
        <f>IF(M3=CharSheetFront!$A$7,CharSheetFront!$F$7,0)</f>
        <v>0</v>
      </c>
      <c r="S3">
        <f>IF(M3=CharSheetFront!$A$8,CharSheetFront!$F$8,0)</f>
        <v>0</v>
      </c>
      <c r="T3">
        <f>IF(M3=CharSheetFront!$A$9,CharSheetFront!$F$9,0)</f>
        <v>0</v>
      </c>
      <c r="U3">
        <f>IF(M3=CharSheetFront!$A$10,CharSheetFront!$F$10,0)</f>
        <v>0</v>
      </c>
      <c r="V3">
        <f>IF(M3=CharSheetFront!$A$11,CharSheetFront!$F$11,0)</f>
        <v>0</v>
      </c>
      <c r="W3">
        <f>IF(M3=CharSheetFront!$A$13,CharSheetFront!$F$13,0)</f>
        <v>3</v>
      </c>
      <c r="X3">
        <f>IF(M3=CharSheetFront!$A$14,CharSheetFront!$F$14,0)</f>
        <v>0</v>
      </c>
      <c r="Y3">
        <f>IF(M3=CharSheetFront!$A$15,CharSheetFront!$F$15,0)</f>
        <v>0</v>
      </c>
      <c r="Z3">
        <f>IF(M3=CharSheetFront!$A$16,CharSheetFront!$F$16,0)</f>
        <v>0</v>
      </c>
      <c r="AA3">
        <f>IF(M3=CharSheetFront!$A$17,CharSheetFront!$F$17,0)</f>
        <v>0</v>
      </c>
      <c r="AB3">
        <f>IF(M3=CharSheetFront!$A$18,CharSheetFront!$F$18,0)</f>
        <v>0</v>
      </c>
      <c r="AC3">
        <f>IF(M3=CharSheetFront!$A$20,CharSheetFront!$F$20,0)</f>
        <v>0</v>
      </c>
      <c r="AD3">
        <f>IF(M3=CharSheetFront!$A$21,CharSheetFront!$F$21,0)</f>
        <v>0</v>
      </c>
      <c r="AE3">
        <f aca="true" t="shared" si="1" ref="AE3:AE30">L3+N3</f>
        <v>9</v>
      </c>
    </row>
    <row r="4" spans="1:31" ht="12.75">
      <c r="A4" s="222"/>
      <c r="B4" s="2"/>
      <c r="C4" s="249" t="s">
        <v>867</v>
      </c>
      <c r="D4" s="121"/>
      <c r="E4" s="103">
        <f>E2</f>
        <v>14</v>
      </c>
      <c r="F4" s="120" t="s">
        <v>868</v>
      </c>
      <c r="G4" s="250"/>
      <c r="H4" s="256">
        <f>(H1+H2+CharSheetFront!E2)</f>
        <v>13</v>
      </c>
      <c r="I4" s="2"/>
      <c r="J4" s="55" t="s">
        <v>440</v>
      </c>
      <c r="K4" s="225"/>
      <c r="L4" s="13">
        <v>4</v>
      </c>
      <c r="M4" s="230" t="str">
        <f>IF(J4&gt;0,LOOKUP(J4,Skills!$A$2:$A$419,Skills!$B$2:$B$419),"")</f>
        <v>Presence</v>
      </c>
      <c r="N4" s="10">
        <f t="shared" si="0"/>
        <v>0</v>
      </c>
      <c r="O4" s="259" t="str">
        <f>IF(J4&gt;0,CharSheetFront!$T$22&amp;CharSheetBack!AE4,"")</f>
        <v>D20+4</v>
      </c>
      <c r="P4">
        <f>SUM(Q4:AD4)</f>
        <v>0</v>
      </c>
      <c r="Q4">
        <f>IF(M4=CharSheetFront!$A$6,CharSheetFront!$F$6,0)</f>
        <v>0</v>
      </c>
      <c r="R4">
        <f>IF(M4=CharSheetFront!$A$7,CharSheetFront!$F$7,0)</f>
        <v>0</v>
      </c>
      <c r="S4">
        <f>IF(M4=CharSheetFront!$A$8,CharSheetFront!$F$8,0)</f>
        <v>0</v>
      </c>
      <c r="T4">
        <f>IF(M4=CharSheetFront!$A$9,CharSheetFront!$F$9,0)</f>
        <v>0</v>
      </c>
      <c r="U4">
        <f>IF(M4=CharSheetFront!$A$10,CharSheetFront!$F$10,0)</f>
        <v>0</v>
      </c>
      <c r="V4">
        <f>IF(M4=CharSheetFront!$A$11,CharSheetFront!$F$11,0)</f>
        <v>0</v>
      </c>
      <c r="W4">
        <f>IF(M4=CharSheetFront!$A$13,CharSheetFront!$F$13,0)</f>
        <v>0</v>
      </c>
      <c r="X4">
        <f>IF(M4=CharSheetFront!$A$14,CharSheetFront!$F$14,0)</f>
        <v>0</v>
      </c>
      <c r="Y4">
        <f>IF(M4=CharSheetFront!$A$15,CharSheetFront!$F$15,0)</f>
        <v>0</v>
      </c>
      <c r="Z4">
        <f>IF(M4=CharSheetFront!$A$16,CharSheetFront!$F$16,0)</f>
        <v>0</v>
      </c>
      <c r="AA4">
        <f>IF(M4=CharSheetFront!$A$17,CharSheetFront!$F$17,0)</f>
        <v>0</v>
      </c>
      <c r="AB4">
        <f>IF(M4=CharSheetFront!$A$18,CharSheetFront!$F$18,0)</f>
        <v>0</v>
      </c>
      <c r="AC4">
        <f>IF(M4=CharSheetFront!$A$20,CharSheetFront!$F$20,0)</f>
        <v>0</v>
      </c>
      <c r="AD4">
        <f>IF(M4=CharSheetFront!$A$21,CharSheetFront!$F$21,0)</f>
        <v>0</v>
      </c>
      <c r="AE4">
        <f t="shared" si="1"/>
        <v>4</v>
      </c>
    </row>
    <row r="5" spans="1:31" ht="12.75">
      <c r="A5" s="220"/>
      <c r="B5" s="188"/>
      <c r="C5" s="68"/>
      <c r="D5" s="9"/>
      <c r="E5" s="2"/>
      <c r="F5" s="1"/>
      <c r="G5" s="2"/>
      <c r="H5" s="251" t="s">
        <v>869</v>
      </c>
      <c r="I5" s="9"/>
      <c r="J5" s="231" t="s">
        <v>920</v>
      </c>
      <c r="K5" s="225"/>
      <c r="L5" s="13">
        <v>4</v>
      </c>
      <c r="M5" s="230" t="str">
        <f>IF(J5&gt;0,LOOKUP(J5,Skills!$A$2:$A$419,Skills!$B$2:$B$419),"")</f>
        <v>Initiative/Reaction</v>
      </c>
      <c r="N5" s="10">
        <f t="shared" si="0"/>
        <v>4</v>
      </c>
      <c r="O5" s="259" t="str">
        <f>IF(J5&gt;0,CharSheetFront!$T$22&amp;CharSheetBack!AE5,"")</f>
        <v>D20+8</v>
      </c>
      <c r="P5">
        <f>SUM(Q5:AD5)</f>
        <v>4</v>
      </c>
      <c r="Q5">
        <f>IF(M5=CharSheetFront!$A$6,CharSheetFront!$F$6,0)</f>
        <v>0</v>
      </c>
      <c r="R5">
        <f>IF(M5=CharSheetFront!$A$7,CharSheetFront!$F$7,0)</f>
        <v>0</v>
      </c>
      <c r="S5">
        <f>IF(M5=CharSheetFront!$A$8,CharSheetFront!$F$8,0)</f>
        <v>0</v>
      </c>
      <c r="T5">
        <f>IF(M5=CharSheetFront!$A$9,CharSheetFront!$F$9,0)</f>
        <v>0</v>
      </c>
      <c r="U5">
        <f>IF(M5=CharSheetFront!$A$10,CharSheetFront!$F$10,0)</f>
        <v>0</v>
      </c>
      <c r="V5">
        <f>IF(M5=CharSheetFront!$A$11,CharSheetFront!$F$11,0)</f>
        <v>0</v>
      </c>
      <c r="W5">
        <f>IF(M5=CharSheetFront!$A$13,CharSheetFront!$F$13,0)</f>
        <v>0</v>
      </c>
      <c r="X5">
        <f>IF(M5=CharSheetFront!$A$14,CharSheetFront!$F$14,0)</f>
        <v>0</v>
      </c>
      <c r="Y5">
        <f>IF(M5=CharSheetFront!$A$15,CharSheetFront!$F$15,0)</f>
        <v>0</v>
      </c>
      <c r="Z5">
        <f>IF(M5=CharSheetFront!$A$16,CharSheetFront!$F$16,0)</f>
        <v>0</v>
      </c>
      <c r="AA5">
        <f>IF(M5=CharSheetFront!$A$17,CharSheetFront!$F$17,0)</f>
        <v>0</v>
      </c>
      <c r="AB5">
        <f>IF(M5=CharSheetFront!$A$18,CharSheetFront!$F$18,0)</f>
        <v>0</v>
      </c>
      <c r="AC5">
        <f>IF(M5=CharSheetFront!$A$20,CharSheetFront!$F$20,0)</f>
        <v>0</v>
      </c>
      <c r="AD5">
        <f>IF(M5=CharSheetFront!$A$21,CharSheetFront!$F$21,0)</f>
        <v>4</v>
      </c>
      <c r="AE5">
        <f t="shared" si="1"/>
        <v>8</v>
      </c>
    </row>
    <row r="6" spans="1:31" ht="12.75">
      <c r="A6" s="221"/>
      <c r="B6" s="164"/>
      <c r="C6" s="27"/>
      <c r="D6" s="2"/>
      <c r="E6" s="2"/>
      <c r="F6" s="1"/>
      <c r="G6" s="2"/>
      <c r="H6" s="252" t="s">
        <v>655</v>
      </c>
      <c r="I6" s="14"/>
      <c r="J6" s="55" t="s">
        <v>1071</v>
      </c>
      <c r="K6" s="226"/>
      <c r="L6" s="135">
        <v>4</v>
      </c>
      <c r="M6" s="230" t="str">
        <f>IF(J6&gt;0,LOOKUP(J6,Skills!$A$2:$A$419,Skills!$B$2:$B$419),"")</f>
        <v>Perception</v>
      </c>
      <c r="N6" s="10">
        <f t="shared" si="0"/>
        <v>3</v>
      </c>
      <c r="O6" s="259" t="str">
        <f>IF(J6&gt;0,CharSheetFront!$T$22&amp;CharSheetBack!AE6,"")</f>
        <v>D20+7</v>
      </c>
      <c r="P6">
        <f aca="true" t="shared" si="2" ref="P6:P30">SUM(Q6:AD6)</f>
        <v>3</v>
      </c>
      <c r="Q6">
        <f>IF(M6=CharSheetFront!$A$6,CharSheetFront!$F$6,0)</f>
        <v>0</v>
      </c>
      <c r="R6">
        <f>IF(M6=CharSheetFront!$A$7,CharSheetFront!$F$7,0)</f>
        <v>0</v>
      </c>
      <c r="S6">
        <f>IF(M6=CharSheetFront!$A$8,CharSheetFront!$F$8,0)</f>
        <v>0</v>
      </c>
      <c r="T6">
        <f>IF(M6=CharSheetFront!$A$9,CharSheetFront!$F$9,0)</f>
        <v>0</v>
      </c>
      <c r="U6">
        <f>IF(M6=CharSheetFront!$A$10,CharSheetFront!$F$10,0)</f>
        <v>0</v>
      </c>
      <c r="V6">
        <f>IF(M6=CharSheetFront!$A$11,CharSheetFront!$F$11,0)</f>
        <v>0</v>
      </c>
      <c r="W6">
        <f>IF(M6=CharSheetFront!$A$13,CharSheetFront!$F$13,0)</f>
        <v>0</v>
      </c>
      <c r="X6">
        <f>IF(M6=CharSheetFront!$A$14,CharSheetFront!$F$14,0)</f>
        <v>0</v>
      </c>
      <c r="Y6">
        <f>IF(M6=CharSheetFront!$A$15,CharSheetFront!$F$15,0)</f>
        <v>0</v>
      </c>
      <c r="Z6">
        <f>IF(M6=CharSheetFront!$A$16,CharSheetFront!$F$16,0)</f>
        <v>0</v>
      </c>
      <c r="AA6">
        <f>IF(M6=CharSheetFront!$A$17,CharSheetFront!$F$17,0)</f>
        <v>0</v>
      </c>
      <c r="AB6">
        <f>IF(M6=CharSheetFront!$A$18,CharSheetFront!$F$18,0)</f>
        <v>0</v>
      </c>
      <c r="AC6">
        <f>IF(M6=CharSheetFront!$A$20,CharSheetFront!$F$20,0)</f>
        <v>3</v>
      </c>
      <c r="AD6">
        <f>IF(M6=CharSheetFront!$A$21,CharSheetFront!$F$21,0)</f>
        <v>0</v>
      </c>
      <c r="AE6">
        <f t="shared" si="1"/>
        <v>7</v>
      </c>
    </row>
    <row r="7" spans="1:31" ht="13.5" thickBot="1">
      <c r="A7" s="220"/>
      <c r="B7" s="188"/>
      <c r="C7" s="253"/>
      <c r="D7" s="30"/>
      <c r="E7" s="30"/>
      <c r="F7" s="87"/>
      <c r="G7" s="89"/>
      <c r="H7" s="254" t="s">
        <v>656</v>
      </c>
      <c r="I7" s="14"/>
      <c r="J7" s="231" t="s">
        <v>205</v>
      </c>
      <c r="K7" s="225"/>
      <c r="L7" s="13">
        <v>4</v>
      </c>
      <c r="M7" s="230" t="str">
        <f>IF(J7&gt;0,LOOKUP(J7,Skills!$A$2:$A$419,Skills!$B$2:$B$419),"")</f>
        <v>Intelligence</v>
      </c>
      <c r="N7" s="10">
        <f t="shared" si="0"/>
        <v>3</v>
      </c>
      <c r="O7" s="259" t="str">
        <f>IF(J7&gt;0,CharSheetFront!$T$22&amp;CharSheetBack!AE7,"")</f>
        <v>D20+7</v>
      </c>
      <c r="P7">
        <f t="shared" si="2"/>
        <v>3</v>
      </c>
      <c r="Q7">
        <f>IF(M7=CharSheetFront!$A$6,CharSheetFront!$F$6,0)</f>
        <v>0</v>
      </c>
      <c r="R7">
        <f>IF(M7=CharSheetFront!$A$7,CharSheetFront!$F$7,0)</f>
        <v>0</v>
      </c>
      <c r="S7">
        <f>IF(M7=CharSheetFront!$A$8,CharSheetFront!$F$8,0)</f>
        <v>0</v>
      </c>
      <c r="T7">
        <f>IF(M7=CharSheetFront!$A$9,CharSheetFront!$F$9,0)</f>
        <v>0</v>
      </c>
      <c r="U7">
        <f>IF(M7=CharSheetFront!$A$10,CharSheetFront!$F$10,0)</f>
        <v>0</v>
      </c>
      <c r="V7">
        <f>IF(M7=CharSheetFront!$A$11,CharSheetFront!$F$11,0)</f>
        <v>0</v>
      </c>
      <c r="W7">
        <f>IF(M7=CharSheetFront!$A$13,CharSheetFront!$F$13,0)</f>
        <v>3</v>
      </c>
      <c r="X7">
        <f>IF(M7=CharSheetFront!$A$14,CharSheetFront!$F$14,0)</f>
        <v>0</v>
      </c>
      <c r="Y7">
        <f>IF(M7=CharSheetFront!$A$15,CharSheetFront!$F$15,0)</f>
        <v>0</v>
      </c>
      <c r="Z7">
        <f>IF(M7=CharSheetFront!$A$16,CharSheetFront!$F$16,0)</f>
        <v>0</v>
      </c>
      <c r="AA7">
        <f>IF(M7=CharSheetFront!$A$17,CharSheetFront!$F$17,0)</f>
        <v>0</v>
      </c>
      <c r="AB7">
        <f>IF(M7=CharSheetFront!$A$18,CharSheetFront!$F$18,0)</f>
        <v>0</v>
      </c>
      <c r="AC7">
        <f>IF(M7=CharSheetFront!$A$20,CharSheetFront!$F$20,0)</f>
        <v>0</v>
      </c>
      <c r="AD7">
        <f>IF(M7=CharSheetFront!$A$21,CharSheetFront!$F$21,0)</f>
        <v>0</v>
      </c>
      <c r="AE7">
        <f t="shared" si="1"/>
        <v>7</v>
      </c>
    </row>
    <row r="8" spans="1:31" ht="13.5" thickBot="1">
      <c r="A8" s="221"/>
      <c r="B8" s="164"/>
      <c r="C8" s="198"/>
      <c r="D8" s="17"/>
      <c r="I8" s="14"/>
      <c r="J8" s="232" t="s">
        <v>621</v>
      </c>
      <c r="K8" s="227"/>
      <c r="L8" s="135">
        <v>4</v>
      </c>
      <c r="M8" s="230" t="str">
        <f>IF(J8&gt;0,LOOKUP(J8,Skills!$A$2:$A$419,Skills!$B$2:$B$419),"")</f>
        <v>Intelligence</v>
      </c>
      <c r="N8" s="10">
        <f t="shared" si="0"/>
        <v>3</v>
      </c>
      <c r="O8" s="259" t="str">
        <f>IF(J8&gt;0,CharSheetFront!$T$22&amp;CharSheetBack!AE8,"")</f>
        <v>D20+7</v>
      </c>
      <c r="P8">
        <f t="shared" si="2"/>
        <v>3</v>
      </c>
      <c r="Q8">
        <f>IF(M8=CharSheetFront!$A$6,CharSheetFront!$F$6,0)</f>
        <v>0</v>
      </c>
      <c r="R8">
        <f>IF(M8=CharSheetFront!$A$7,CharSheetFront!$F$7,0)</f>
        <v>0</v>
      </c>
      <c r="S8">
        <f>IF(M8=CharSheetFront!$A$8,CharSheetFront!$F$8,0)</f>
        <v>0</v>
      </c>
      <c r="T8">
        <f>IF(M8=CharSheetFront!$A$9,CharSheetFront!$F$9,0)</f>
        <v>0</v>
      </c>
      <c r="U8">
        <f>IF(M8=CharSheetFront!$A$10,CharSheetFront!$F$10,0)</f>
        <v>0</v>
      </c>
      <c r="V8">
        <f>IF(M8=CharSheetFront!$A$11,CharSheetFront!$F$11,0)</f>
        <v>0</v>
      </c>
      <c r="W8">
        <f>IF(M8=CharSheetFront!$A$13,CharSheetFront!$F$13,0)</f>
        <v>3</v>
      </c>
      <c r="X8">
        <f>IF(M8=CharSheetFront!$A$14,CharSheetFront!$F$14,0)</f>
        <v>0</v>
      </c>
      <c r="Y8">
        <f>IF(M8=CharSheetFront!$A$15,CharSheetFront!$F$15,0)</f>
        <v>0</v>
      </c>
      <c r="Z8">
        <f>IF(M8=CharSheetFront!$A$16,CharSheetFront!$F$16,0)</f>
        <v>0</v>
      </c>
      <c r="AA8">
        <f>IF(M8=CharSheetFront!$A$17,CharSheetFront!$F$17,0)</f>
        <v>0</v>
      </c>
      <c r="AB8">
        <f>IF(M8=CharSheetFront!$A$18,CharSheetFront!$F$18,0)</f>
        <v>0</v>
      </c>
      <c r="AC8">
        <f>IF(M8=CharSheetFront!$A$20,CharSheetFront!$F$20,0)</f>
        <v>0</v>
      </c>
      <c r="AD8">
        <f>IF(M8=CharSheetFront!$A$21,CharSheetFront!$F$21,0)</f>
        <v>0</v>
      </c>
      <c r="AE8">
        <f t="shared" si="1"/>
        <v>7</v>
      </c>
    </row>
    <row r="9" spans="1:31" ht="12.75">
      <c r="A9" s="220"/>
      <c r="B9" s="188"/>
      <c r="C9" s="203" t="s">
        <v>551</v>
      </c>
      <c r="D9" s="93"/>
      <c r="E9" s="47"/>
      <c r="F9" s="47"/>
      <c r="G9" s="47"/>
      <c r="H9" s="119"/>
      <c r="I9" s="14"/>
      <c r="J9" s="233" t="s">
        <v>622</v>
      </c>
      <c r="K9" s="228"/>
      <c r="L9" s="13">
        <v>4</v>
      </c>
      <c r="M9" s="230" t="str">
        <f>IF(J9&gt;0,LOOKUP(J9,Skills!$A$2:$A$419,Skills!$B$2:$B$419),"")</f>
        <v>Initiative/Reaction</v>
      </c>
      <c r="N9" s="10">
        <f t="shared" si="0"/>
        <v>4</v>
      </c>
      <c r="O9" s="259" t="str">
        <f>IF(J9&gt;0,CharSheetFront!$T$22&amp;CharSheetBack!AE9,"")</f>
        <v>D20+8</v>
      </c>
      <c r="P9">
        <f t="shared" si="2"/>
        <v>4</v>
      </c>
      <c r="Q9">
        <f>IF(M9=CharSheetFront!$A$6,CharSheetFront!$F$6,0)</f>
        <v>0</v>
      </c>
      <c r="R9">
        <f>IF(M9=CharSheetFront!$A$7,CharSheetFront!$F$7,0)</f>
        <v>0</v>
      </c>
      <c r="S9">
        <f>IF(M9=CharSheetFront!$A$8,CharSheetFront!$F$8,0)</f>
        <v>0</v>
      </c>
      <c r="T9">
        <f>IF(M9=CharSheetFront!$A$9,CharSheetFront!$F$9,0)</f>
        <v>0</v>
      </c>
      <c r="U9">
        <f>IF(M9=CharSheetFront!$A$10,CharSheetFront!$F$10,0)</f>
        <v>0</v>
      </c>
      <c r="V9">
        <f>IF(M9=CharSheetFront!$A$11,CharSheetFront!$F$11,0)</f>
        <v>0</v>
      </c>
      <c r="W9">
        <f>IF(M9=CharSheetFront!$A$13,CharSheetFront!$F$13,0)</f>
        <v>0</v>
      </c>
      <c r="X9">
        <f>IF(M9=CharSheetFront!$A$14,CharSheetFront!$F$14,0)</f>
        <v>0</v>
      </c>
      <c r="Y9">
        <f>IF(M9=CharSheetFront!$A$15,CharSheetFront!$F$15,0)</f>
        <v>0</v>
      </c>
      <c r="Z9">
        <f>IF(M9=CharSheetFront!$A$16,CharSheetFront!$F$16,0)</f>
        <v>0</v>
      </c>
      <c r="AA9">
        <f>IF(M9=CharSheetFront!$A$17,CharSheetFront!$F$17,0)</f>
        <v>0</v>
      </c>
      <c r="AB9">
        <f>IF(M9=CharSheetFront!$A$18,CharSheetFront!$F$18,0)</f>
        <v>0</v>
      </c>
      <c r="AC9">
        <f>IF(M9=CharSheetFront!$A$20,CharSheetFront!$F$20,0)</f>
        <v>0</v>
      </c>
      <c r="AD9">
        <f>IF(M9=CharSheetFront!$A$21,CharSheetFront!$F$21,0)</f>
        <v>4</v>
      </c>
      <c r="AE9">
        <f t="shared" si="1"/>
        <v>8</v>
      </c>
    </row>
    <row r="10" spans="1:31" ht="12.75">
      <c r="A10" s="221"/>
      <c r="B10" s="164"/>
      <c r="C10" s="204" t="s">
        <v>350</v>
      </c>
      <c r="D10" s="84"/>
      <c r="E10" s="198" t="s">
        <v>353</v>
      </c>
      <c r="F10" s="84"/>
      <c r="G10" s="11" t="s">
        <v>145</v>
      </c>
      <c r="H10" s="86"/>
      <c r="I10" s="14"/>
      <c r="J10" s="232" t="s">
        <v>840</v>
      </c>
      <c r="K10" s="227"/>
      <c r="L10" s="135"/>
      <c r="M10" s="230" t="str">
        <f>IF(J10&gt;0,LOOKUP(J10,Skills!$A$2:$A$419,Skills!$B$2:$B$419),"")</f>
        <v>Intelligence</v>
      </c>
      <c r="N10" s="10">
        <f t="shared" si="0"/>
        <v>3</v>
      </c>
      <c r="O10" s="259" t="str">
        <f>IF(J10&gt;0,CharSheetFront!$T$22&amp;CharSheetBack!AE10,"")</f>
        <v>D20+3</v>
      </c>
      <c r="P10">
        <f t="shared" si="2"/>
        <v>3</v>
      </c>
      <c r="Q10">
        <f>IF(M10=CharSheetFront!$A$6,CharSheetFront!$F$6,0)</f>
        <v>0</v>
      </c>
      <c r="R10">
        <f>IF(M10=CharSheetFront!$A$7,CharSheetFront!$F$7,0)</f>
        <v>0</v>
      </c>
      <c r="S10">
        <f>IF(M10=CharSheetFront!$A$8,CharSheetFront!$F$8,0)</f>
        <v>0</v>
      </c>
      <c r="T10">
        <f>IF(M10=CharSheetFront!$A$9,CharSheetFront!$F$9,0)</f>
        <v>0</v>
      </c>
      <c r="U10">
        <f>IF(M10=CharSheetFront!$A$10,CharSheetFront!$F$10,0)</f>
        <v>0</v>
      </c>
      <c r="V10">
        <f>IF(M10=CharSheetFront!$A$11,CharSheetFront!$F$11,0)</f>
        <v>0</v>
      </c>
      <c r="W10">
        <f>IF(M10=CharSheetFront!$A$13,CharSheetFront!$F$13,0)</f>
        <v>3</v>
      </c>
      <c r="X10">
        <f>IF(M10=CharSheetFront!$A$14,CharSheetFront!$F$14,0)</f>
        <v>0</v>
      </c>
      <c r="Y10">
        <f>IF(M10=CharSheetFront!$A$15,CharSheetFront!$F$15,0)</f>
        <v>0</v>
      </c>
      <c r="Z10">
        <f>IF(M10=CharSheetFront!$A$16,CharSheetFront!$F$16,0)</f>
        <v>0</v>
      </c>
      <c r="AA10">
        <f>IF(M10=CharSheetFront!$A$17,CharSheetFront!$F$17,0)</f>
        <v>0</v>
      </c>
      <c r="AB10">
        <f>IF(M10=CharSheetFront!$A$18,CharSheetFront!$F$18,0)</f>
        <v>0</v>
      </c>
      <c r="AC10">
        <f>IF(M10=CharSheetFront!$A$20,CharSheetFront!$F$20,0)</f>
        <v>0</v>
      </c>
      <c r="AD10">
        <f>IF(M10=CharSheetFront!$A$21,CharSheetFront!$F$21,0)</f>
        <v>0</v>
      </c>
      <c r="AE10">
        <f t="shared" si="1"/>
        <v>3</v>
      </c>
    </row>
    <row r="11" spans="1:31" ht="12.75">
      <c r="A11" s="220"/>
      <c r="B11" s="188"/>
      <c r="C11" s="204" t="s">
        <v>351</v>
      </c>
      <c r="D11" s="84"/>
      <c r="E11" s="198" t="s">
        <v>143</v>
      </c>
      <c r="F11" s="84"/>
      <c r="G11" s="198" t="s">
        <v>146</v>
      </c>
      <c r="H11" s="86"/>
      <c r="I11" s="14"/>
      <c r="J11" s="59" t="s">
        <v>840</v>
      </c>
      <c r="K11" s="225"/>
      <c r="L11" s="10"/>
      <c r="M11" s="230" t="str">
        <f>IF(J11&gt;0,LOOKUP(J11,Skills!$A$2:$A$419,Skills!$B$2:$B$419),"")</f>
        <v>Intelligence</v>
      </c>
      <c r="N11" s="10">
        <f t="shared" si="0"/>
        <v>3</v>
      </c>
      <c r="O11" s="259" t="str">
        <f>IF(J11&gt;0,CharSheetFront!$T$22&amp;CharSheetBack!AE11,"")</f>
        <v>D20+3</v>
      </c>
      <c r="P11">
        <f t="shared" si="2"/>
        <v>3</v>
      </c>
      <c r="Q11">
        <f>IF(M11=CharSheetFront!$A$6,CharSheetFront!$F$6,0)</f>
        <v>0</v>
      </c>
      <c r="R11">
        <f>IF(M11=CharSheetFront!$A$7,CharSheetFront!$F$7,0)</f>
        <v>0</v>
      </c>
      <c r="S11">
        <f>IF(M11=CharSheetFront!$A$8,CharSheetFront!$F$8,0)</f>
        <v>0</v>
      </c>
      <c r="T11">
        <f>IF(M11=CharSheetFront!$A$9,CharSheetFront!$F$9,0)</f>
        <v>0</v>
      </c>
      <c r="U11">
        <f>IF(M11=CharSheetFront!$A$10,CharSheetFront!$F$10,0)</f>
        <v>0</v>
      </c>
      <c r="V11">
        <f>IF(M11=CharSheetFront!$A$11,CharSheetFront!$F$11,0)</f>
        <v>0</v>
      </c>
      <c r="W11">
        <f>IF(M11=CharSheetFront!$A$13,CharSheetFront!$F$13,0)</f>
        <v>3</v>
      </c>
      <c r="X11">
        <f>IF(M11=CharSheetFront!$A$14,CharSheetFront!$F$14,0)</f>
        <v>0</v>
      </c>
      <c r="Y11">
        <f>IF(M11=CharSheetFront!$A$15,CharSheetFront!$F$15,0)</f>
        <v>0</v>
      </c>
      <c r="Z11">
        <f>IF(M11=CharSheetFront!$A$16,CharSheetFront!$F$16,0)</f>
        <v>0</v>
      </c>
      <c r="AA11">
        <f>IF(M11=CharSheetFront!$A$17,CharSheetFront!$F$17,0)</f>
        <v>0</v>
      </c>
      <c r="AB11">
        <f>IF(M11=CharSheetFront!$A$18,CharSheetFront!$F$18,0)</f>
        <v>0</v>
      </c>
      <c r="AC11">
        <f>IF(M11=CharSheetFront!$A$20,CharSheetFront!$F$20,0)</f>
        <v>0</v>
      </c>
      <c r="AD11">
        <f>IF(M11=CharSheetFront!$A$21,CharSheetFront!$F$21,0)</f>
        <v>0</v>
      </c>
      <c r="AE11">
        <f t="shared" si="1"/>
        <v>3</v>
      </c>
    </row>
    <row r="12" spans="1:31" ht="12.75">
      <c r="A12" s="193"/>
      <c r="B12" s="188"/>
      <c r="C12" s="204" t="s">
        <v>352</v>
      </c>
      <c r="D12" s="84"/>
      <c r="E12" s="198" t="s">
        <v>144</v>
      </c>
      <c r="F12" s="84"/>
      <c r="G12" s="198" t="s">
        <v>147</v>
      </c>
      <c r="H12" s="86"/>
      <c r="I12" s="14"/>
      <c r="J12" s="137" t="s">
        <v>179</v>
      </c>
      <c r="K12" s="226"/>
      <c r="L12" s="138">
        <v>6</v>
      </c>
      <c r="M12" s="230" t="str">
        <f>IF(J12&gt;0,LOOKUP(J12,Skills!$A$2:$A$419,Skills!$B$2:$B$419),"")</f>
        <v>Presence</v>
      </c>
      <c r="N12" s="10">
        <f aca="true" t="shared" si="3" ref="N12:N30">IF(J12&gt;0,P12,"")</f>
        <v>0</v>
      </c>
      <c r="O12" s="259" t="str">
        <f>IF(J12&gt;0,CharSheetFront!$T$22&amp;CharSheetBack!AE12,"")</f>
        <v>D20+6</v>
      </c>
      <c r="P12">
        <f t="shared" si="2"/>
        <v>0</v>
      </c>
      <c r="Q12">
        <f>IF(M12=CharSheetFront!$A$6,CharSheetFront!$F$6,0)</f>
        <v>0</v>
      </c>
      <c r="R12">
        <f>IF(M12=CharSheetFront!$A$7,CharSheetFront!$F$7,0)</f>
        <v>0</v>
      </c>
      <c r="S12">
        <f>IF(M12=CharSheetFront!$A$8,CharSheetFront!$F$8,0)</f>
        <v>0</v>
      </c>
      <c r="T12">
        <f>IF(M12=CharSheetFront!$A$9,CharSheetFront!$F$9,0)</f>
        <v>0</v>
      </c>
      <c r="U12">
        <f>IF(M12=CharSheetFront!$A$10,CharSheetFront!$F$10,0)</f>
        <v>0</v>
      </c>
      <c r="V12">
        <f>IF(M12=CharSheetFront!$A$11,CharSheetFront!$F$11,0)</f>
        <v>0</v>
      </c>
      <c r="W12">
        <f>IF(M12=CharSheetFront!$A$13,CharSheetFront!$F$13,0)</f>
        <v>0</v>
      </c>
      <c r="X12">
        <f>IF(M12=CharSheetFront!$A$14,CharSheetFront!$F$14,0)</f>
        <v>0</v>
      </c>
      <c r="Y12">
        <f>IF(M12=CharSheetFront!$A$15,CharSheetFront!$F$15,0)</f>
        <v>0</v>
      </c>
      <c r="Z12">
        <f>IF(M12=CharSheetFront!$A$16,CharSheetFront!$F$16,0)</f>
        <v>0</v>
      </c>
      <c r="AA12">
        <f>IF(M12=CharSheetFront!$A$17,CharSheetFront!$F$17,0)</f>
        <v>0</v>
      </c>
      <c r="AB12">
        <f>IF(M12=CharSheetFront!$A$18,CharSheetFront!$F$18,0)</f>
        <v>0</v>
      </c>
      <c r="AC12">
        <f>IF(M12=CharSheetFront!$A$20,CharSheetFront!$F$20,0)</f>
        <v>0</v>
      </c>
      <c r="AD12">
        <f>IF(M12=CharSheetFront!$A$21,CharSheetFront!$F$21,0)</f>
        <v>0</v>
      </c>
      <c r="AE12">
        <f t="shared" si="1"/>
        <v>6</v>
      </c>
    </row>
    <row r="13" spans="1:31" ht="12.75">
      <c r="A13" s="220"/>
      <c r="B13" s="188"/>
      <c r="C13" s="27"/>
      <c r="D13" s="198"/>
      <c r="E13" s="198"/>
      <c r="F13" s="198"/>
      <c r="G13" s="198"/>
      <c r="H13" s="205"/>
      <c r="I13" s="14"/>
      <c r="J13" s="59" t="s">
        <v>1160</v>
      </c>
      <c r="K13" s="225"/>
      <c r="L13" s="10">
        <v>5</v>
      </c>
      <c r="M13" s="230" t="str">
        <f>IF(J13&gt;0,LOOKUP(J13,Skills!$A$2:$A$419,Skills!$B$2:$B$419),"")</f>
        <v>Perception</v>
      </c>
      <c r="N13" s="10">
        <f t="shared" si="3"/>
        <v>3</v>
      </c>
      <c r="O13" s="259" t="str">
        <f>IF(J13&gt;0,CharSheetFront!$T$22&amp;CharSheetBack!AE13,"")</f>
        <v>D20+8</v>
      </c>
      <c r="P13">
        <f t="shared" si="2"/>
        <v>3</v>
      </c>
      <c r="Q13">
        <f>IF(M13=CharSheetFront!$A$6,CharSheetFront!$F$6,0)</f>
        <v>0</v>
      </c>
      <c r="R13">
        <f>IF(M13=CharSheetFront!$A$7,CharSheetFront!$F$7,0)</f>
        <v>0</v>
      </c>
      <c r="S13">
        <f>IF(M13=CharSheetFront!$A$8,CharSheetFront!$F$8,0)</f>
        <v>0</v>
      </c>
      <c r="T13">
        <f>IF(M13=CharSheetFront!$A$9,CharSheetFront!$F$9,0)</f>
        <v>0</v>
      </c>
      <c r="U13">
        <f>IF(M13=CharSheetFront!$A$10,CharSheetFront!$F$10,0)</f>
        <v>0</v>
      </c>
      <c r="V13">
        <f>IF(M13=CharSheetFront!$A$11,CharSheetFront!$F$11,0)</f>
        <v>0</v>
      </c>
      <c r="W13">
        <f>IF(M13=CharSheetFront!$A$13,CharSheetFront!$F$13,0)</f>
        <v>0</v>
      </c>
      <c r="X13">
        <f>IF(M13=CharSheetFront!$A$14,CharSheetFront!$F$14,0)</f>
        <v>0</v>
      </c>
      <c r="Y13">
        <f>IF(M13=CharSheetFront!$A$15,CharSheetFront!$F$15,0)</f>
        <v>0</v>
      </c>
      <c r="Z13">
        <f>IF(M13=CharSheetFront!$A$16,CharSheetFront!$F$16,0)</f>
        <v>0</v>
      </c>
      <c r="AA13">
        <f>IF(M13=CharSheetFront!$A$17,CharSheetFront!$F$17,0)</f>
        <v>0</v>
      </c>
      <c r="AB13">
        <f>IF(M13=CharSheetFront!$A$18,CharSheetFront!$F$18,0)</f>
        <v>0</v>
      </c>
      <c r="AC13">
        <f>IF(M13=CharSheetFront!$A$20,CharSheetFront!$F$20,0)</f>
        <v>3</v>
      </c>
      <c r="AD13">
        <f>IF(M13=CharSheetFront!$A$21,CharSheetFront!$F$21,0)</f>
        <v>0</v>
      </c>
      <c r="AE13">
        <f t="shared" si="1"/>
        <v>8</v>
      </c>
    </row>
    <row r="14" spans="1:31" ht="12.75">
      <c r="A14" s="221"/>
      <c r="B14" s="164"/>
      <c r="C14" s="206" t="s">
        <v>349</v>
      </c>
      <c r="D14" s="200"/>
      <c r="E14" s="200"/>
      <c r="F14" s="200"/>
      <c r="G14" s="200"/>
      <c r="H14" s="207"/>
      <c r="I14" s="14"/>
      <c r="J14" s="137" t="s">
        <v>1161</v>
      </c>
      <c r="K14" s="226"/>
      <c r="L14" s="138">
        <v>5</v>
      </c>
      <c r="M14" s="230" t="str">
        <f>IF(J14&gt;0,LOOKUP(J14,Skills!$A$2:$A$419,Skills!$B$2:$B$419),"")</f>
        <v>Perception</v>
      </c>
      <c r="N14" s="10">
        <f t="shared" si="3"/>
        <v>3</v>
      </c>
      <c r="O14" s="259" t="str">
        <f>IF(J14&gt;0,CharSheetFront!$T$22&amp;CharSheetBack!AE14,"")</f>
        <v>D20+8</v>
      </c>
      <c r="P14">
        <f t="shared" si="2"/>
        <v>3</v>
      </c>
      <c r="Q14">
        <f>IF(M14=CharSheetFront!$A$6,CharSheetFront!$F$6,0)</f>
        <v>0</v>
      </c>
      <c r="R14">
        <f>IF(M14=CharSheetFront!$A$7,CharSheetFront!$F$7,0)</f>
        <v>0</v>
      </c>
      <c r="S14">
        <f>IF(M14=CharSheetFront!$A$8,CharSheetFront!$F$8,0)</f>
        <v>0</v>
      </c>
      <c r="T14">
        <f>IF(M14=CharSheetFront!$A$9,CharSheetFront!$F$9,0)</f>
        <v>0</v>
      </c>
      <c r="U14">
        <f>IF(M14=CharSheetFront!$A$10,CharSheetFront!$F$10,0)</f>
        <v>0</v>
      </c>
      <c r="V14">
        <f>IF(M14=CharSheetFront!$A$11,CharSheetFront!$F$11,0)</f>
        <v>0</v>
      </c>
      <c r="W14">
        <f>IF(M14=CharSheetFront!$A$13,CharSheetFront!$F$13,0)</f>
        <v>0</v>
      </c>
      <c r="X14">
        <f>IF(M14=CharSheetFront!$A$14,CharSheetFront!$F$14,0)</f>
        <v>0</v>
      </c>
      <c r="Y14">
        <f>IF(M14=CharSheetFront!$A$15,CharSheetFront!$F$15,0)</f>
        <v>0</v>
      </c>
      <c r="Z14">
        <f>IF(M14=CharSheetFront!$A$16,CharSheetFront!$F$16,0)</f>
        <v>0</v>
      </c>
      <c r="AA14">
        <f>IF(M14=CharSheetFront!$A$17,CharSheetFront!$F$17,0)</f>
        <v>0</v>
      </c>
      <c r="AB14">
        <f>IF(M14=CharSheetFront!$A$18,CharSheetFront!$F$18,0)</f>
        <v>0</v>
      </c>
      <c r="AC14">
        <f>IF(M14=CharSheetFront!$A$20,CharSheetFront!$F$20,0)</f>
        <v>3</v>
      </c>
      <c r="AD14">
        <f>IF(M14=CharSheetFront!$A$21,CharSheetFront!$F$21,0)</f>
        <v>0</v>
      </c>
      <c r="AE14">
        <f t="shared" si="1"/>
        <v>8</v>
      </c>
    </row>
    <row r="15" spans="1:31" ht="12.75">
      <c r="A15" s="220"/>
      <c r="B15" s="188"/>
      <c r="C15" s="208"/>
      <c r="D15" s="199"/>
      <c r="E15" s="199"/>
      <c r="F15" s="199"/>
      <c r="G15" s="199"/>
      <c r="H15" s="205"/>
      <c r="I15" s="14"/>
      <c r="J15" s="59"/>
      <c r="K15" s="225"/>
      <c r="L15" s="10"/>
      <c r="M15" s="230">
        <f>IF(J15&gt;0,LOOKUP(J15,Skills!$A$2:$A$419,Skills!$B$2:$B$419),"")</f>
      </c>
      <c r="N15" s="10">
        <f t="shared" si="3"/>
      </c>
      <c r="O15" s="259">
        <f>IF(J15&gt;0,CharSheetFront!$T$22&amp;CharSheetBack!AE15,"")</f>
      </c>
      <c r="P15">
        <f t="shared" si="2"/>
        <v>0</v>
      </c>
      <c r="Q15">
        <f>IF(M15=CharSheetFront!$A$6,CharSheetFront!$F$6,0)</f>
        <v>0</v>
      </c>
      <c r="R15">
        <f>IF(M15=CharSheetFront!$A$7,CharSheetFront!$F$7,0)</f>
        <v>0</v>
      </c>
      <c r="S15">
        <f>IF(M15=CharSheetFront!$A$8,CharSheetFront!$F$8,0)</f>
        <v>0</v>
      </c>
      <c r="T15">
        <f>IF(M15=CharSheetFront!$A$9,CharSheetFront!$F$9,0)</f>
        <v>0</v>
      </c>
      <c r="U15">
        <f>IF(M15=CharSheetFront!$A$10,CharSheetFront!$F$10,0)</f>
        <v>0</v>
      </c>
      <c r="V15">
        <f>IF(M15=CharSheetFront!$A$11,CharSheetFront!$F$11,0)</f>
        <v>0</v>
      </c>
      <c r="W15">
        <f>IF(M15=CharSheetFront!$A$13,CharSheetFront!$F$13,0)</f>
        <v>0</v>
      </c>
      <c r="X15">
        <f>IF(M15=CharSheetFront!$A$14,CharSheetFront!$F$14,0)</f>
        <v>0</v>
      </c>
      <c r="Y15">
        <f>IF(M15=CharSheetFront!$A$15,CharSheetFront!$F$15,0)</f>
        <v>0</v>
      </c>
      <c r="Z15">
        <f>IF(M15=CharSheetFront!$A$16,CharSheetFront!$F$16,0)</f>
        <v>0</v>
      </c>
      <c r="AA15">
        <f>IF(M15=CharSheetFront!$A$17,CharSheetFront!$F$17,0)</f>
        <v>0</v>
      </c>
      <c r="AB15">
        <f>IF(M15=CharSheetFront!$A$18,CharSheetFront!$F$18,0)</f>
        <v>0</v>
      </c>
      <c r="AC15">
        <f>IF(M15=CharSheetFront!$A$20,CharSheetFront!$F$20,0)</f>
        <v>0</v>
      </c>
      <c r="AD15">
        <f>IF(M15=CharSheetFront!$A$21,CharSheetFront!$F$21,0)</f>
        <v>0</v>
      </c>
      <c r="AE15" t="e">
        <f t="shared" si="1"/>
        <v>#VALUE!</v>
      </c>
    </row>
    <row r="16" spans="1:31" ht="12.75">
      <c r="A16" s="221"/>
      <c r="B16" s="164"/>
      <c r="C16" s="59"/>
      <c r="D16" s="201"/>
      <c r="E16" s="201"/>
      <c r="F16" s="201"/>
      <c r="G16" s="201"/>
      <c r="H16" s="209"/>
      <c r="I16" s="14"/>
      <c r="J16" s="59"/>
      <c r="K16" s="225"/>
      <c r="L16" s="10"/>
      <c r="M16" s="230">
        <f>IF(J16&gt;0,LOOKUP(J16,Skills!$A$2:$A$419,Skills!$B$2:$B$419),"")</f>
      </c>
      <c r="N16" s="10">
        <f t="shared" si="3"/>
      </c>
      <c r="O16" s="259">
        <f>IF(J16&gt;0,CharSheetFront!$T$22&amp;CharSheetBack!AE16,"")</f>
      </c>
      <c r="P16">
        <f t="shared" si="2"/>
        <v>0</v>
      </c>
      <c r="Q16">
        <f>IF(M16=CharSheetFront!$A$6,CharSheetFront!$F$6,0)</f>
        <v>0</v>
      </c>
      <c r="R16">
        <f>IF(M16=CharSheetFront!$A$7,CharSheetFront!$F$7,0)</f>
        <v>0</v>
      </c>
      <c r="S16">
        <f>IF(M16=CharSheetFront!$A$8,CharSheetFront!$F$8,0)</f>
        <v>0</v>
      </c>
      <c r="T16">
        <f>IF(M16=CharSheetFront!$A$9,CharSheetFront!$F$9,0)</f>
        <v>0</v>
      </c>
      <c r="U16">
        <f>IF(M16=CharSheetFront!$A$10,CharSheetFront!$F$10,0)</f>
        <v>0</v>
      </c>
      <c r="V16">
        <f>IF(M16=CharSheetFront!$A$11,CharSheetFront!$F$11,0)</f>
        <v>0</v>
      </c>
      <c r="W16">
        <f>IF(M16=CharSheetFront!$A$13,CharSheetFront!$F$13,0)</f>
        <v>0</v>
      </c>
      <c r="X16">
        <f>IF(M16=CharSheetFront!$A$14,CharSheetFront!$F$14,0)</f>
        <v>0</v>
      </c>
      <c r="Y16">
        <f>IF(M16=CharSheetFront!$A$15,CharSheetFront!$F$15,0)</f>
        <v>0</v>
      </c>
      <c r="Z16">
        <f>IF(M16=CharSheetFront!$A$16,CharSheetFront!$F$16,0)</f>
        <v>0</v>
      </c>
      <c r="AA16">
        <f>IF(M16=CharSheetFront!$A$17,CharSheetFront!$F$17,0)</f>
        <v>0</v>
      </c>
      <c r="AB16">
        <f>IF(M16=CharSheetFront!$A$18,CharSheetFront!$F$18,0)</f>
        <v>0</v>
      </c>
      <c r="AC16">
        <f>IF(M16=CharSheetFront!$A$20,CharSheetFront!$F$20,0)</f>
        <v>0</v>
      </c>
      <c r="AD16">
        <f>IF(M16=CharSheetFront!$A$21,CharSheetFront!$F$21,0)</f>
        <v>0</v>
      </c>
      <c r="AE16" t="e">
        <f t="shared" si="1"/>
        <v>#VALUE!</v>
      </c>
    </row>
    <row r="17" spans="1:31" ht="13.5" thickBot="1">
      <c r="A17" s="223"/>
      <c r="B17" s="188"/>
      <c r="C17" s="206" t="s">
        <v>148</v>
      </c>
      <c r="D17" s="202"/>
      <c r="E17" s="202"/>
      <c r="F17" s="202"/>
      <c r="G17" s="202"/>
      <c r="H17" s="207"/>
      <c r="I17" s="14"/>
      <c r="J17" s="59"/>
      <c r="K17" s="225"/>
      <c r="L17" s="10"/>
      <c r="M17" s="230">
        <f>IF(J17&gt;0,LOOKUP(J17,Skills!$A$2:$A$419,Skills!$B$2:$B$419),"")</f>
      </c>
      <c r="N17" s="10">
        <f t="shared" si="3"/>
      </c>
      <c r="O17" s="259">
        <f>IF(J17&gt;0,CharSheetFront!$T$22&amp;CharSheetBack!AE17,"")</f>
      </c>
      <c r="P17">
        <f t="shared" si="2"/>
        <v>0</v>
      </c>
      <c r="Q17">
        <f>IF(M17=CharSheetFront!$A$6,CharSheetFront!$F$6,0)</f>
        <v>0</v>
      </c>
      <c r="R17">
        <f>IF(M17=CharSheetFront!$A$7,CharSheetFront!$F$7,0)</f>
        <v>0</v>
      </c>
      <c r="S17">
        <f>IF(M17=CharSheetFront!$A$8,CharSheetFront!$F$8,0)</f>
        <v>0</v>
      </c>
      <c r="T17">
        <f>IF(M17=CharSheetFront!$A$9,CharSheetFront!$F$9,0)</f>
        <v>0</v>
      </c>
      <c r="U17">
        <f>IF(M17=CharSheetFront!$A$10,CharSheetFront!$F$10,0)</f>
        <v>0</v>
      </c>
      <c r="V17">
        <f>IF(M17=CharSheetFront!$A$11,CharSheetFront!$F$11,0)</f>
        <v>0</v>
      </c>
      <c r="W17">
        <f>IF(M17=CharSheetFront!$A$13,CharSheetFront!$F$13,0)</f>
        <v>0</v>
      </c>
      <c r="X17">
        <f>IF(M17=CharSheetFront!$A$14,CharSheetFront!$F$14,0)</f>
        <v>0</v>
      </c>
      <c r="Y17">
        <f>IF(M17=CharSheetFront!$A$15,CharSheetFront!$F$15,0)</f>
        <v>0</v>
      </c>
      <c r="Z17">
        <f>IF(M17=CharSheetFront!$A$16,CharSheetFront!$F$16,0)</f>
        <v>0</v>
      </c>
      <c r="AA17">
        <f>IF(M17=CharSheetFront!$A$17,CharSheetFront!$F$17,0)</f>
        <v>0</v>
      </c>
      <c r="AB17">
        <f>IF(M17=CharSheetFront!$A$18,CharSheetFront!$F$18,0)</f>
        <v>0</v>
      </c>
      <c r="AC17">
        <f>IF(M17=CharSheetFront!$A$20,CharSheetFront!$F$20,0)</f>
        <v>0</v>
      </c>
      <c r="AD17">
        <f>IF(M17=CharSheetFront!$A$21,CharSheetFront!$F$21,0)</f>
        <v>0</v>
      </c>
      <c r="AE17" t="e">
        <f t="shared" si="1"/>
        <v>#VALUE!</v>
      </c>
    </row>
    <row r="18" spans="1:31" ht="12.75">
      <c r="A18" s="195" t="s">
        <v>547</v>
      </c>
      <c r="B18" s="164"/>
      <c r="C18" s="204"/>
      <c r="D18" s="198"/>
      <c r="E18" s="198"/>
      <c r="F18" s="198"/>
      <c r="G18" s="198"/>
      <c r="H18" s="205"/>
      <c r="I18" s="14"/>
      <c r="J18" s="59"/>
      <c r="K18" s="225"/>
      <c r="L18" s="10"/>
      <c r="M18" s="230">
        <f>IF(J18&gt;0,LOOKUP(J18,Skills!$A$2:$A$419,Skills!$B$2:$B$419),"")</f>
      </c>
      <c r="N18" s="10">
        <f t="shared" si="3"/>
      </c>
      <c r="O18" s="259">
        <f>IF(J18&gt;0,CharSheetFront!$T$22&amp;CharSheetBack!AE18,"")</f>
      </c>
      <c r="P18">
        <f t="shared" si="2"/>
        <v>0</v>
      </c>
      <c r="Q18">
        <f>IF(M18=CharSheetFront!$A$6,CharSheetFront!$F$6,0)</f>
        <v>0</v>
      </c>
      <c r="R18">
        <f>IF(M18=CharSheetFront!$A$7,CharSheetFront!$F$7,0)</f>
        <v>0</v>
      </c>
      <c r="S18">
        <f>IF(M18=CharSheetFront!$A$8,CharSheetFront!$F$8,0)</f>
        <v>0</v>
      </c>
      <c r="T18">
        <f>IF(M18=CharSheetFront!$A$9,CharSheetFront!$F$9,0)</f>
        <v>0</v>
      </c>
      <c r="U18">
        <f>IF(M18=CharSheetFront!$A$10,CharSheetFront!$F$10,0)</f>
        <v>0</v>
      </c>
      <c r="V18">
        <f>IF(M18=CharSheetFront!$A$11,CharSheetFront!$F$11,0)</f>
        <v>0</v>
      </c>
      <c r="W18">
        <f>IF(M18=CharSheetFront!$A$13,CharSheetFront!$F$13,0)</f>
        <v>0</v>
      </c>
      <c r="X18">
        <f>IF(M18=CharSheetFront!$A$14,CharSheetFront!$F$14,0)</f>
        <v>0</v>
      </c>
      <c r="Y18">
        <f>IF(M18=CharSheetFront!$A$15,CharSheetFront!$F$15,0)</f>
        <v>0</v>
      </c>
      <c r="Z18">
        <f>IF(M18=CharSheetFront!$A$16,CharSheetFront!$F$16,0)</f>
        <v>0</v>
      </c>
      <c r="AA18">
        <f>IF(M18=CharSheetFront!$A$17,CharSheetFront!$F$17,0)</f>
        <v>0</v>
      </c>
      <c r="AB18">
        <f>IF(M18=CharSheetFront!$A$18,CharSheetFront!$F$18,0)</f>
        <v>0</v>
      </c>
      <c r="AC18">
        <f>IF(M18=CharSheetFront!$A$20,CharSheetFront!$F$20,0)</f>
        <v>0</v>
      </c>
      <c r="AD18">
        <f>IF(M18=CharSheetFront!$A$21,CharSheetFront!$F$21,0)</f>
        <v>0</v>
      </c>
      <c r="AE18" t="e">
        <f t="shared" si="1"/>
        <v>#VALUE!</v>
      </c>
    </row>
    <row r="19" spans="1:31" ht="13.5" thickBot="1">
      <c r="A19" s="220" t="s">
        <v>580</v>
      </c>
      <c r="B19" s="188"/>
      <c r="C19" s="210"/>
      <c r="D19" s="211"/>
      <c r="E19" s="211"/>
      <c r="F19" s="211"/>
      <c r="G19" s="211"/>
      <c r="H19" s="212"/>
      <c r="I19" s="14"/>
      <c r="J19" s="59"/>
      <c r="K19" s="225"/>
      <c r="L19" s="10"/>
      <c r="M19" s="230">
        <f>IF(J19&gt;0,LOOKUP(J19,Skills!$A$2:$A$419,Skills!$B$2:$B$419),"")</f>
      </c>
      <c r="N19" s="10">
        <f t="shared" si="3"/>
      </c>
      <c r="O19" s="259">
        <f>IF(J19&gt;0,CharSheetFront!$T$22&amp;CharSheetBack!AE19,"")</f>
      </c>
      <c r="P19">
        <f t="shared" si="2"/>
        <v>0</v>
      </c>
      <c r="Q19">
        <f>IF(M19=CharSheetFront!$A$6,CharSheetFront!$F$6,0)</f>
        <v>0</v>
      </c>
      <c r="R19">
        <f>IF(M19=CharSheetFront!$A$7,CharSheetFront!$F$7,0)</f>
        <v>0</v>
      </c>
      <c r="S19">
        <f>IF(M19=CharSheetFront!$A$8,CharSheetFront!$F$8,0)</f>
        <v>0</v>
      </c>
      <c r="T19">
        <f>IF(M19=CharSheetFront!$A$9,CharSheetFront!$F$9,0)</f>
        <v>0</v>
      </c>
      <c r="U19">
        <f>IF(M19=CharSheetFront!$A$10,CharSheetFront!$F$10,0)</f>
        <v>0</v>
      </c>
      <c r="V19">
        <f>IF(M19=CharSheetFront!$A$11,CharSheetFront!$F$11,0)</f>
        <v>0</v>
      </c>
      <c r="W19">
        <f>IF(M19=CharSheetFront!$A$13,CharSheetFront!$F$13,0)</f>
        <v>0</v>
      </c>
      <c r="X19">
        <f>IF(M19=CharSheetFront!$A$14,CharSheetFront!$F$14,0)</f>
        <v>0</v>
      </c>
      <c r="Y19">
        <f>IF(M19=CharSheetFront!$A$15,CharSheetFront!$F$15,0)</f>
        <v>0</v>
      </c>
      <c r="Z19">
        <f>IF(M19=CharSheetFront!$A$16,CharSheetFront!$F$16,0)</f>
        <v>0</v>
      </c>
      <c r="AA19">
        <f>IF(M19=CharSheetFront!$A$17,CharSheetFront!$F$17,0)</f>
        <v>0</v>
      </c>
      <c r="AB19">
        <f>IF(M19=CharSheetFront!$A$18,CharSheetFront!$F$18,0)</f>
        <v>0</v>
      </c>
      <c r="AC19">
        <f>IF(M19=CharSheetFront!$A$20,CharSheetFront!$F$20,0)</f>
        <v>0</v>
      </c>
      <c r="AD19">
        <f>IF(M19=CharSheetFront!$A$21,CharSheetFront!$F$21,0)</f>
        <v>0</v>
      </c>
      <c r="AE19" t="e">
        <f t="shared" si="1"/>
        <v>#VALUE!</v>
      </c>
    </row>
    <row r="20" spans="1:31" ht="13.5" thickBot="1">
      <c r="A20" s="224" t="s">
        <v>581</v>
      </c>
      <c r="B20" s="164"/>
      <c r="C20" s="198"/>
      <c r="D20" s="198"/>
      <c r="E20" s="198"/>
      <c r="F20" s="198"/>
      <c r="G20" s="198"/>
      <c r="H20" s="198"/>
      <c r="I20" s="17"/>
      <c r="J20" s="59"/>
      <c r="K20" s="225"/>
      <c r="L20" s="10"/>
      <c r="M20" s="230">
        <f>IF(J20&gt;0,LOOKUP(J20,Skills!$A$2:$A$419,Skills!$B$2:$B$419),"")</f>
      </c>
      <c r="N20" s="10">
        <f t="shared" si="3"/>
      </c>
      <c r="O20" s="259">
        <f>IF(J20&gt;0,CharSheetFront!$T$22&amp;CharSheetBack!AE20,"")</f>
      </c>
      <c r="P20">
        <f t="shared" si="2"/>
        <v>0</v>
      </c>
      <c r="Q20">
        <f>IF(M20=CharSheetFront!$A$6,CharSheetFront!$F$6,0)</f>
        <v>0</v>
      </c>
      <c r="R20">
        <f>IF(M20=CharSheetFront!$A$7,CharSheetFront!$F$7,0)</f>
        <v>0</v>
      </c>
      <c r="S20">
        <f>IF(M20=CharSheetFront!$A$8,CharSheetFront!$F$8,0)</f>
        <v>0</v>
      </c>
      <c r="T20">
        <f>IF(M20=CharSheetFront!$A$9,CharSheetFront!$F$9,0)</f>
        <v>0</v>
      </c>
      <c r="U20">
        <f>IF(M20=CharSheetFront!$A$10,CharSheetFront!$F$10,0)</f>
        <v>0</v>
      </c>
      <c r="V20">
        <f>IF(M20=CharSheetFront!$A$11,CharSheetFront!$F$11,0)</f>
        <v>0</v>
      </c>
      <c r="W20">
        <f>IF(M20=CharSheetFront!$A$13,CharSheetFront!$F$13,0)</f>
        <v>0</v>
      </c>
      <c r="X20">
        <f>IF(M20=CharSheetFront!$A$14,CharSheetFront!$F$14,0)</f>
        <v>0</v>
      </c>
      <c r="Y20">
        <f>IF(M20=CharSheetFront!$A$15,CharSheetFront!$F$15,0)</f>
        <v>0</v>
      </c>
      <c r="Z20">
        <f>IF(M20=CharSheetFront!$A$16,CharSheetFront!$F$16,0)</f>
        <v>0</v>
      </c>
      <c r="AA20">
        <f>IF(M20=CharSheetFront!$A$17,CharSheetFront!$F$17,0)</f>
        <v>0</v>
      </c>
      <c r="AB20">
        <f>IF(M20=CharSheetFront!$A$18,CharSheetFront!$F$18,0)</f>
        <v>0</v>
      </c>
      <c r="AC20">
        <f>IF(M20=CharSheetFront!$A$20,CharSheetFront!$F$20,0)</f>
        <v>0</v>
      </c>
      <c r="AD20">
        <f>IF(M20=CharSheetFront!$A$21,CharSheetFront!$F$21,0)</f>
        <v>0</v>
      </c>
      <c r="AE20" t="e">
        <f t="shared" si="1"/>
        <v>#VALUE!</v>
      </c>
    </row>
    <row r="21" spans="1:31" ht="12.75">
      <c r="A21" s="220" t="s">
        <v>582</v>
      </c>
      <c r="B21" s="188"/>
      <c r="C21" s="24" t="s">
        <v>657</v>
      </c>
      <c r="D21" s="47"/>
      <c r="E21" s="101"/>
      <c r="F21" s="101"/>
      <c r="G21" s="47"/>
      <c r="H21" s="255" t="s">
        <v>798</v>
      </c>
      <c r="I21" s="17"/>
      <c r="J21" s="59"/>
      <c r="K21" s="225"/>
      <c r="L21" s="10"/>
      <c r="M21" s="230">
        <f>IF(J21&gt;0,LOOKUP(J21,Skills!$A$2:$A$419,Skills!$B$2:$B$419),"")</f>
      </c>
      <c r="N21" s="10">
        <f t="shared" si="3"/>
      </c>
      <c r="O21" s="259">
        <f>IF(J21&gt;0,CharSheetFront!$T$22&amp;CharSheetBack!AE21,"")</f>
      </c>
      <c r="P21">
        <f t="shared" si="2"/>
        <v>0</v>
      </c>
      <c r="Q21">
        <f>IF(M21=CharSheetFront!$A$6,CharSheetFront!$F$6,0)</f>
        <v>0</v>
      </c>
      <c r="R21">
        <f>IF(M21=CharSheetFront!$A$7,CharSheetFront!$F$7,0)</f>
        <v>0</v>
      </c>
      <c r="S21">
        <f>IF(M21=CharSheetFront!$A$8,CharSheetFront!$F$8,0)</f>
        <v>0</v>
      </c>
      <c r="T21">
        <f>IF(M21=CharSheetFront!$A$9,CharSheetFront!$F$9,0)</f>
        <v>0</v>
      </c>
      <c r="U21">
        <f>IF(M21=CharSheetFront!$A$10,CharSheetFront!$F$10,0)</f>
        <v>0</v>
      </c>
      <c r="V21">
        <f>IF(M21=CharSheetFront!$A$11,CharSheetFront!$F$11,0)</f>
        <v>0</v>
      </c>
      <c r="W21">
        <f>IF(M21=CharSheetFront!$A$13,CharSheetFront!$F$13,0)</f>
        <v>0</v>
      </c>
      <c r="X21">
        <f>IF(M21=CharSheetFront!$A$14,CharSheetFront!$F$14,0)</f>
        <v>0</v>
      </c>
      <c r="Y21">
        <f>IF(M21=CharSheetFront!$A$15,CharSheetFront!$F$15,0)</f>
        <v>0</v>
      </c>
      <c r="Z21">
        <f>IF(M21=CharSheetFront!$A$16,CharSheetFront!$F$16,0)</f>
        <v>0</v>
      </c>
      <c r="AA21">
        <f>IF(M21=CharSheetFront!$A$17,CharSheetFront!$F$17,0)</f>
        <v>0</v>
      </c>
      <c r="AB21">
        <f>IF(M21=CharSheetFront!$A$18,CharSheetFront!$F$18,0)</f>
        <v>0</v>
      </c>
      <c r="AC21">
        <f>IF(M21=CharSheetFront!$A$20,CharSheetFront!$F$20,0)</f>
        <v>0</v>
      </c>
      <c r="AD21">
        <f>IF(M21=CharSheetFront!$A$21,CharSheetFront!$F$21,0)</f>
        <v>0</v>
      </c>
      <c r="AE21" t="e">
        <f t="shared" si="1"/>
        <v>#VALUE!</v>
      </c>
    </row>
    <row r="22" spans="1:31" ht="13.5" thickBot="1">
      <c r="A22" s="222" t="s">
        <v>583</v>
      </c>
      <c r="B22" s="2"/>
      <c r="C22" s="29"/>
      <c r="D22" s="229" t="s">
        <v>658</v>
      </c>
      <c r="E22" s="30">
        <v>14</v>
      </c>
      <c r="F22" s="30" t="s">
        <v>659</v>
      </c>
      <c r="G22" s="30">
        <v>13</v>
      </c>
      <c r="H22" s="31">
        <f>IF(G22&gt;0,LOOKUP(G22,'Stat Bonuses'!A2:A51,'Stat Bonuses'!B2:B51),"")</f>
        <v>1</v>
      </c>
      <c r="I22" s="2"/>
      <c r="J22" s="59"/>
      <c r="K22" s="225"/>
      <c r="L22" s="10"/>
      <c r="M22" s="230">
        <f>IF(J22&gt;0,LOOKUP(J22,Skills!$A$2:$A$419,Skills!$B$2:$B$419),"")</f>
      </c>
      <c r="N22" s="10">
        <f t="shared" si="3"/>
      </c>
      <c r="O22" s="259">
        <f>IF(J22&gt;0,CharSheetFront!$T$22&amp;CharSheetBack!AE22,"")</f>
      </c>
      <c r="P22">
        <f t="shared" si="2"/>
        <v>0</v>
      </c>
      <c r="Q22">
        <f>IF(M22=CharSheetFront!$A$6,CharSheetFront!$F$6,0)</f>
        <v>0</v>
      </c>
      <c r="R22">
        <f>IF(M22=CharSheetFront!$A$7,CharSheetFront!$F$7,0)</f>
        <v>0</v>
      </c>
      <c r="S22">
        <f>IF(M22=CharSheetFront!$A$8,CharSheetFront!$F$8,0)</f>
        <v>0</v>
      </c>
      <c r="T22">
        <f>IF(M22=CharSheetFront!$A$9,CharSheetFront!$F$9,0)</f>
        <v>0</v>
      </c>
      <c r="U22">
        <f>IF(M22=CharSheetFront!$A$10,CharSheetFront!$F$10,0)</f>
        <v>0</v>
      </c>
      <c r="V22">
        <f>IF(M22=CharSheetFront!$A$11,CharSheetFront!$F$11,0)</f>
        <v>0</v>
      </c>
      <c r="W22">
        <f>IF(M22=CharSheetFront!$A$13,CharSheetFront!$F$13,0)</f>
        <v>0</v>
      </c>
      <c r="X22">
        <f>IF(M22=CharSheetFront!$A$14,CharSheetFront!$F$14,0)</f>
        <v>0</v>
      </c>
      <c r="Y22">
        <f>IF(M22=CharSheetFront!$A$15,CharSheetFront!$F$15,0)</f>
        <v>0</v>
      </c>
      <c r="Z22">
        <f>IF(M22=CharSheetFront!$A$16,CharSheetFront!$F$16,0)</f>
        <v>0</v>
      </c>
      <c r="AA22">
        <f>IF(M22=CharSheetFront!$A$17,CharSheetFront!$F$17,0)</f>
        <v>0</v>
      </c>
      <c r="AB22">
        <f>IF(M22=CharSheetFront!$A$18,CharSheetFront!$F$18,0)</f>
        <v>0</v>
      </c>
      <c r="AC22">
        <f>IF(M22=CharSheetFront!$A$20,CharSheetFront!$F$20,0)</f>
        <v>0</v>
      </c>
      <c r="AD22">
        <f>IF(M22=CharSheetFront!$A$21,CharSheetFront!$F$21,0)</f>
        <v>0</v>
      </c>
      <c r="AE22" t="e">
        <f t="shared" si="1"/>
        <v>#VALUE!</v>
      </c>
    </row>
    <row r="23" spans="1:31" ht="13.5" thickBot="1">
      <c r="A23" s="220" t="s">
        <v>584</v>
      </c>
      <c r="B23" s="188"/>
      <c r="C23" s="2"/>
      <c r="D23" s="2"/>
      <c r="E23" s="2"/>
      <c r="F23" s="2"/>
      <c r="G23" s="2"/>
      <c r="H23" s="2"/>
      <c r="I23" s="8"/>
      <c r="J23" s="59"/>
      <c r="K23" s="225"/>
      <c r="L23" s="10"/>
      <c r="M23" s="230">
        <f>IF(J23&gt;0,LOOKUP(J23,Skills!$A$2:$A$419,Skills!$B$2:$B$419),"")</f>
      </c>
      <c r="N23" s="10">
        <f t="shared" si="3"/>
      </c>
      <c r="O23" s="259">
        <f>IF(J23&gt;0,CharSheetFront!$T$22&amp;CharSheetBack!AE23,"")</f>
      </c>
      <c r="P23">
        <f t="shared" si="2"/>
        <v>0</v>
      </c>
      <c r="Q23">
        <f>IF(M23=CharSheetFront!$A$6,CharSheetFront!$F$6,0)</f>
        <v>0</v>
      </c>
      <c r="R23">
        <f>IF(M23=CharSheetFront!$A$7,CharSheetFront!$F$7,0)</f>
        <v>0</v>
      </c>
      <c r="S23">
        <f>IF(M23=CharSheetFront!$A$8,CharSheetFront!$F$8,0)</f>
        <v>0</v>
      </c>
      <c r="T23">
        <f>IF(M23=CharSheetFront!$A$9,CharSheetFront!$F$9,0)</f>
        <v>0</v>
      </c>
      <c r="U23">
        <f>IF(M23=CharSheetFront!$A$10,CharSheetFront!$F$10,0)</f>
        <v>0</v>
      </c>
      <c r="V23">
        <f>IF(M23=CharSheetFront!$A$11,CharSheetFront!$F$11,0)</f>
        <v>0</v>
      </c>
      <c r="W23">
        <f>IF(M23=CharSheetFront!$A$13,CharSheetFront!$F$13,0)</f>
        <v>0</v>
      </c>
      <c r="X23">
        <f>IF(M23=CharSheetFront!$A$14,CharSheetFront!$F$14,0)</f>
        <v>0</v>
      </c>
      <c r="Y23">
        <f>IF(M23=CharSheetFront!$A$15,CharSheetFront!$F$15,0)</f>
        <v>0</v>
      </c>
      <c r="Z23">
        <f>IF(M23=CharSheetFront!$A$16,CharSheetFront!$F$16,0)</f>
        <v>0</v>
      </c>
      <c r="AA23">
        <f>IF(M23=CharSheetFront!$A$17,CharSheetFront!$F$17,0)</f>
        <v>0</v>
      </c>
      <c r="AB23">
        <f>IF(M23=CharSheetFront!$A$18,CharSheetFront!$F$18,0)</f>
        <v>0</v>
      </c>
      <c r="AC23">
        <f>IF(M23=CharSheetFront!$A$20,CharSheetFront!$F$20,0)</f>
        <v>0</v>
      </c>
      <c r="AD23">
        <f>IF(M23=CharSheetFront!$A$21,CharSheetFront!$F$21,0)</f>
        <v>0</v>
      </c>
      <c r="AE23" t="e">
        <f t="shared" si="1"/>
        <v>#VALUE!</v>
      </c>
    </row>
    <row r="24" spans="1:31" ht="12.75">
      <c r="A24" s="222" t="s">
        <v>660</v>
      </c>
      <c r="B24" s="2"/>
      <c r="C24" s="132" t="s">
        <v>795</v>
      </c>
      <c r="D24" s="213"/>
      <c r="E24" s="213"/>
      <c r="F24" s="213"/>
      <c r="G24" s="213"/>
      <c r="H24" s="214"/>
      <c r="I24" s="9"/>
      <c r="J24" s="59"/>
      <c r="K24" s="225"/>
      <c r="L24" s="10"/>
      <c r="M24" s="230">
        <f>IF(J24&gt;0,LOOKUP(J24,Skills!$A$2:$A$419,Skills!$B$2:$B$419),"")</f>
      </c>
      <c r="N24" s="10">
        <f t="shared" si="3"/>
      </c>
      <c r="O24" s="259">
        <f>IF(J24&gt;0,CharSheetFront!$T$22&amp;CharSheetBack!AE24,"")</f>
      </c>
      <c r="P24">
        <f t="shared" si="2"/>
        <v>0</v>
      </c>
      <c r="Q24">
        <f>IF(M24=CharSheetFront!$A$6,CharSheetFront!$F$6,0)</f>
        <v>0</v>
      </c>
      <c r="R24">
        <f>IF(M24=CharSheetFront!$A$7,CharSheetFront!$F$7,0)</f>
        <v>0</v>
      </c>
      <c r="S24">
        <f>IF(M24=CharSheetFront!$A$8,CharSheetFront!$F$8,0)</f>
        <v>0</v>
      </c>
      <c r="T24">
        <f>IF(M24=CharSheetFront!$A$9,CharSheetFront!$F$9,0)</f>
        <v>0</v>
      </c>
      <c r="U24">
        <f>IF(M24=CharSheetFront!$A$10,CharSheetFront!$F$10,0)</f>
        <v>0</v>
      </c>
      <c r="V24">
        <f>IF(M24=CharSheetFront!$A$11,CharSheetFront!$F$11,0)</f>
        <v>0</v>
      </c>
      <c r="W24">
        <f>IF(M24=CharSheetFront!$A$13,CharSheetFront!$F$13,0)</f>
        <v>0</v>
      </c>
      <c r="X24">
        <f>IF(M24=CharSheetFront!$A$14,CharSheetFront!$F$14,0)</f>
        <v>0</v>
      </c>
      <c r="Y24">
        <f>IF(M24=CharSheetFront!$A$15,CharSheetFront!$F$15,0)</f>
        <v>0</v>
      </c>
      <c r="Z24">
        <f>IF(M24=CharSheetFront!$A$16,CharSheetFront!$F$16,0)</f>
        <v>0</v>
      </c>
      <c r="AA24">
        <f>IF(M24=CharSheetFront!$A$17,CharSheetFront!$F$17,0)</f>
        <v>0</v>
      </c>
      <c r="AB24">
        <f>IF(M24=CharSheetFront!$A$18,CharSheetFront!$F$18,0)</f>
        <v>0</v>
      </c>
      <c r="AC24">
        <f>IF(M24=CharSheetFront!$A$20,CharSheetFront!$F$20,0)</f>
        <v>0</v>
      </c>
      <c r="AD24">
        <f>IF(M24=CharSheetFront!$A$21,CharSheetFront!$F$21,0)</f>
        <v>0</v>
      </c>
      <c r="AE24" t="e">
        <f t="shared" si="1"/>
        <v>#VALUE!</v>
      </c>
    </row>
    <row r="25" spans="1:31" ht="12.75">
      <c r="A25" s="220" t="s">
        <v>647</v>
      </c>
      <c r="B25" s="188"/>
      <c r="C25" s="208"/>
      <c r="D25" s="199"/>
      <c r="E25" s="199"/>
      <c r="F25" s="199"/>
      <c r="G25" s="199"/>
      <c r="H25" s="215"/>
      <c r="I25" s="9"/>
      <c r="J25" s="59"/>
      <c r="K25" s="225"/>
      <c r="L25" s="10"/>
      <c r="M25" s="230">
        <f>IF(J25&gt;0,LOOKUP(J25,Skills!$A$2:$A$419,Skills!$B$2:$B$419),"")</f>
      </c>
      <c r="N25" s="10">
        <f t="shared" si="3"/>
      </c>
      <c r="O25" s="259">
        <f>IF(J25&gt;0,CharSheetFront!$T$22&amp;CharSheetBack!AE25,"")</f>
      </c>
      <c r="P25">
        <f t="shared" si="2"/>
        <v>0</v>
      </c>
      <c r="Q25">
        <f>IF(M25=CharSheetFront!$A$6,CharSheetFront!$F$6,0)</f>
        <v>0</v>
      </c>
      <c r="R25">
        <f>IF(M25=CharSheetFront!$A$7,CharSheetFront!$F$7,0)</f>
        <v>0</v>
      </c>
      <c r="S25">
        <f>IF(M25=CharSheetFront!$A$8,CharSheetFront!$F$8,0)</f>
        <v>0</v>
      </c>
      <c r="T25">
        <f>IF(M25=CharSheetFront!$A$9,CharSheetFront!$F$9,0)</f>
        <v>0</v>
      </c>
      <c r="U25">
        <f>IF(M25=CharSheetFront!$A$10,CharSheetFront!$F$10,0)</f>
        <v>0</v>
      </c>
      <c r="V25">
        <f>IF(M25=CharSheetFront!$A$11,CharSheetFront!$F$11,0)</f>
        <v>0</v>
      </c>
      <c r="W25">
        <f>IF(M25=CharSheetFront!$A$13,CharSheetFront!$F$13,0)</f>
        <v>0</v>
      </c>
      <c r="X25">
        <f>IF(M25=CharSheetFront!$A$14,CharSheetFront!$F$14,0)</f>
        <v>0</v>
      </c>
      <c r="Y25">
        <f>IF(M25=CharSheetFront!$A$15,CharSheetFront!$F$15,0)</f>
        <v>0</v>
      </c>
      <c r="Z25">
        <f>IF(M25=CharSheetFront!$A$16,CharSheetFront!$F$16,0)</f>
        <v>0</v>
      </c>
      <c r="AA25">
        <f>IF(M25=CharSheetFront!$A$17,CharSheetFront!$F$17,0)</f>
        <v>0</v>
      </c>
      <c r="AB25">
        <f>IF(M25=CharSheetFront!$A$18,CharSheetFront!$F$18,0)</f>
        <v>0</v>
      </c>
      <c r="AC25">
        <f>IF(M25=CharSheetFront!$A$20,CharSheetFront!$F$20,0)</f>
        <v>0</v>
      </c>
      <c r="AD25">
        <f>IF(M25=CharSheetFront!$A$21,CharSheetFront!$F$21,0)</f>
        <v>0</v>
      </c>
      <c r="AE25" t="e">
        <f t="shared" si="1"/>
        <v>#VALUE!</v>
      </c>
    </row>
    <row r="26" spans="1:31" ht="12.75">
      <c r="A26" s="222" t="s">
        <v>648</v>
      </c>
      <c r="B26" s="2"/>
      <c r="C26" s="208"/>
      <c r="D26" s="199"/>
      <c r="E26" s="199"/>
      <c r="F26" s="199"/>
      <c r="G26" s="199"/>
      <c r="H26" s="215"/>
      <c r="I26" s="2"/>
      <c r="J26" s="59"/>
      <c r="K26" s="225"/>
      <c r="L26" s="10"/>
      <c r="M26" s="230">
        <f>IF(J26&gt;0,LOOKUP(J26,Skills!$A$2:$A$419,Skills!$B$2:$B$419),"")</f>
      </c>
      <c r="N26" s="10">
        <f t="shared" si="3"/>
      </c>
      <c r="O26" s="259">
        <f>IF(J26&gt;0,CharSheetFront!$T$22&amp;CharSheetBack!AE26,"")</f>
      </c>
      <c r="P26">
        <f t="shared" si="2"/>
        <v>0</v>
      </c>
      <c r="Q26">
        <f>IF(M26=CharSheetFront!$A$6,CharSheetFront!$F$6,0)</f>
        <v>0</v>
      </c>
      <c r="R26">
        <f>IF(M26=CharSheetFront!$A$7,CharSheetFront!$F$7,0)</f>
        <v>0</v>
      </c>
      <c r="S26">
        <f>IF(M26=CharSheetFront!$A$8,CharSheetFront!$F$8,0)</f>
        <v>0</v>
      </c>
      <c r="T26">
        <f>IF(M26=CharSheetFront!$A$9,CharSheetFront!$F$9,0)</f>
        <v>0</v>
      </c>
      <c r="U26">
        <f>IF(M26=CharSheetFront!$A$10,CharSheetFront!$F$10,0)</f>
        <v>0</v>
      </c>
      <c r="V26">
        <f>IF(M26=CharSheetFront!$A$11,CharSheetFront!$F$11,0)</f>
        <v>0</v>
      </c>
      <c r="W26">
        <f>IF(M26=CharSheetFront!$A$13,CharSheetFront!$F$13,0)</f>
        <v>0</v>
      </c>
      <c r="X26">
        <f>IF(M26=CharSheetFront!$A$14,CharSheetFront!$F$14,0)</f>
        <v>0</v>
      </c>
      <c r="Y26">
        <f>IF(M26=CharSheetFront!$A$15,CharSheetFront!$F$15,0)</f>
        <v>0</v>
      </c>
      <c r="Z26">
        <f>IF(M26=CharSheetFront!$A$16,CharSheetFront!$F$16,0)</f>
        <v>0</v>
      </c>
      <c r="AA26">
        <f>IF(M26=CharSheetFront!$A$17,CharSheetFront!$F$17,0)</f>
        <v>0</v>
      </c>
      <c r="AB26">
        <f>IF(M26=CharSheetFront!$A$18,CharSheetFront!$F$18,0)</f>
        <v>0</v>
      </c>
      <c r="AC26">
        <f>IF(M26=CharSheetFront!$A$20,CharSheetFront!$F$20,0)</f>
        <v>0</v>
      </c>
      <c r="AD26">
        <f>IF(M26=CharSheetFront!$A$21,CharSheetFront!$F$21,0)</f>
        <v>0</v>
      </c>
      <c r="AE26" t="e">
        <f t="shared" si="1"/>
        <v>#VALUE!</v>
      </c>
    </row>
    <row r="27" spans="1:31" ht="12.75">
      <c r="A27" s="220" t="s">
        <v>649</v>
      </c>
      <c r="B27" s="188"/>
      <c r="C27" s="95"/>
      <c r="D27" s="116"/>
      <c r="E27" s="115"/>
      <c r="F27" s="115"/>
      <c r="G27" s="115"/>
      <c r="H27" s="216"/>
      <c r="I27" s="16"/>
      <c r="J27" s="59"/>
      <c r="K27" s="225"/>
      <c r="L27" s="10"/>
      <c r="M27" s="230">
        <f>IF(J27&gt;0,LOOKUP(J27,Skills!$A$2:$A$419,Skills!$B$2:$B$419),"")</f>
      </c>
      <c r="N27" s="10">
        <f t="shared" si="3"/>
      </c>
      <c r="O27" s="259">
        <f>IF(J27&gt;0,CharSheetFront!$T$22&amp;CharSheetBack!AE27,"")</f>
      </c>
      <c r="P27">
        <f t="shared" si="2"/>
        <v>0</v>
      </c>
      <c r="Q27">
        <f>IF(M27=CharSheetFront!$A$6,CharSheetFront!$F$6,0)</f>
        <v>0</v>
      </c>
      <c r="R27">
        <f>IF(M27=CharSheetFront!$A$7,CharSheetFront!$F$7,0)</f>
        <v>0</v>
      </c>
      <c r="S27">
        <f>IF(M27=CharSheetFront!$A$8,CharSheetFront!$F$8,0)</f>
        <v>0</v>
      </c>
      <c r="T27">
        <f>IF(M27=CharSheetFront!$A$9,CharSheetFront!$F$9,0)</f>
        <v>0</v>
      </c>
      <c r="U27">
        <f>IF(M27=CharSheetFront!$A$10,CharSheetFront!$F$10,0)</f>
        <v>0</v>
      </c>
      <c r="V27">
        <f>IF(M27=CharSheetFront!$A$11,CharSheetFront!$F$11,0)</f>
        <v>0</v>
      </c>
      <c r="W27">
        <f>IF(M27=CharSheetFront!$A$13,CharSheetFront!$F$13,0)</f>
        <v>0</v>
      </c>
      <c r="X27">
        <f>IF(M27=CharSheetFront!$A$14,CharSheetFront!$F$14,0)</f>
        <v>0</v>
      </c>
      <c r="Y27">
        <f>IF(M27=CharSheetFront!$A$15,CharSheetFront!$F$15,0)</f>
        <v>0</v>
      </c>
      <c r="Z27">
        <f>IF(M27=CharSheetFront!$A$16,CharSheetFront!$F$16,0)</f>
        <v>0</v>
      </c>
      <c r="AA27">
        <f>IF(M27=CharSheetFront!$A$17,CharSheetFront!$F$17,0)</f>
        <v>0</v>
      </c>
      <c r="AB27">
        <f>IF(M27=CharSheetFront!$A$18,CharSheetFront!$F$18,0)</f>
        <v>0</v>
      </c>
      <c r="AC27">
        <f>IF(M27=CharSheetFront!$A$20,CharSheetFront!$F$20,0)</f>
        <v>0</v>
      </c>
      <c r="AD27">
        <f>IF(M27=CharSheetFront!$A$21,CharSheetFront!$F$21,0)</f>
        <v>0</v>
      </c>
      <c r="AE27" t="e">
        <f t="shared" si="1"/>
        <v>#VALUE!</v>
      </c>
    </row>
    <row r="28" spans="1:31" ht="12.75">
      <c r="A28" s="224" t="s">
        <v>650</v>
      </c>
      <c r="B28" s="2"/>
      <c r="C28" s="27"/>
      <c r="D28" s="2"/>
      <c r="E28" s="9"/>
      <c r="F28" s="65"/>
      <c r="G28" s="65"/>
      <c r="H28" s="28"/>
      <c r="I28" s="9"/>
      <c r="J28" s="59"/>
      <c r="K28" s="225"/>
      <c r="L28" s="10"/>
      <c r="M28" s="230">
        <f>IF(J28&gt;0,LOOKUP(J28,Skills!$A$2:$A$419,Skills!$B$2:$B$419),"")</f>
      </c>
      <c r="N28" s="10">
        <f t="shared" si="3"/>
      </c>
      <c r="O28" s="259">
        <f>IF(J28&gt;0,CharSheetFront!$T$22&amp;CharSheetBack!AE28,"")</f>
      </c>
      <c r="P28">
        <f t="shared" si="2"/>
        <v>0</v>
      </c>
      <c r="Q28">
        <f>IF(M28=CharSheetFront!$A$6,CharSheetFront!$F$6,0)</f>
        <v>0</v>
      </c>
      <c r="R28">
        <f>IF(M28=CharSheetFront!$A$7,CharSheetFront!$F$7,0)</f>
        <v>0</v>
      </c>
      <c r="S28">
        <f>IF(M28=CharSheetFront!$A$8,CharSheetFront!$F$8,0)</f>
        <v>0</v>
      </c>
      <c r="T28">
        <f>IF(M28=CharSheetFront!$A$9,CharSheetFront!$F$9,0)</f>
        <v>0</v>
      </c>
      <c r="U28">
        <f>IF(M28=CharSheetFront!$A$10,CharSheetFront!$F$10,0)</f>
        <v>0</v>
      </c>
      <c r="V28">
        <f>IF(M28=CharSheetFront!$A$11,CharSheetFront!$F$11,0)</f>
        <v>0</v>
      </c>
      <c r="W28">
        <f>IF(M28=CharSheetFront!$A$13,CharSheetFront!$F$13,0)</f>
        <v>0</v>
      </c>
      <c r="X28">
        <f>IF(M28=CharSheetFront!$A$14,CharSheetFront!$F$14,0)</f>
        <v>0</v>
      </c>
      <c r="Y28">
        <f>IF(M28=CharSheetFront!$A$15,CharSheetFront!$F$15,0)</f>
        <v>0</v>
      </c>
      <c r="Z28">
        <f>IF(M28=CharSheetFront!$A$16,CharSheetFront!$F$16,0)</f>
        <v>0</v>
      </c>
      <c r="AA28">
        <f>IF(M28=CharSheetFront!$A$17,CharSheetFront!$F$17,0)</f>
        <v>0</v>
      </c>
      <c r="AB28">
        <f>IF(M28=CharSheetFront!$A$18,CharSheetFront!$F$18,0)</f>
        <v>0</v>
      </c>
      <c r="AC28">
        <f>IF(M28=CharSheetFront!$A$20,CharSheetFront!$F$20,0)</f>
        <v>0</v>
      </c>
      <c r="AD28">
        <f>IF(M28=CharSheetFront!$A$21,CharSheetFront!$F$21,0)</f>
        <v>0</v>
      </c>
      <c r="AE28" t="e">
        <f t="shared" si="1"/>
        <v>#VALUE!</v>
      </c>
    </row>
    <row r="29" spans="1:31" ht="12.75">
      <c r="A29" s="220" t="s">
        <v>651</v>
      </c>
      <c r="B29" s="188"/>
      <c r="C29" s="27"/>
      <c r="D29" s="17"/>
      <c r="E29" s="17"/>
      <c r="F29" s="17"/>
      <c r="G29" s="65"/>
      <c r="H29" s="28"/>
      <c r="I29" s="9"/>
      <c r="J29" s="59"/>
      <c r="K29" s="225"/>
      <c r="L29" s="10"/>
      <c r="M29" s="230">
        <f>IF(J29&gt;0,LOOKUP(J29,Skills!$A$2:$A$419,Skills!$B$2:$B$419),"")</f>
      </c>
      <c r="N29" s="10">
        <f t="shared" si="3"/>
      </c>
      <c r="O29" s="259">
        <f>IF(J29&gt;0,CharSheetFront!$T$22&amp;CharSheetBack!AE29,"")</f>
      </c>
      <c r="P29">
        <f t="shared" si="2"/>
        <v>0</v>
      </c>
      <c r="Q29">
        <f>IF(M29=CharSheetFront!$A$6,CharSheetFront!$F$6,0)</f>
        <v>0</v>
      </c>
      <c r="R29">
        <f>IF(M29=CharSheetFront!$A$7,CharSheetFront!$F$7,0)</f>
        <v>0</v>
      </c>
      <c r="S29">
        <f>IF(M29=CharSheetFront!$A$8,CharSheetFront!$F$8,0)</f>
        <v>0</v>
      </c>
      <c r="T29">
        <f>IF(M29=CharSheetFront!$A$9,CharSheetFront!$F$9,0)</f>
        <v>0</v>
      </c>
      <c r="U29">
        <f>IF(M29=CharSheetFront!$A$10,CharSheetFront!$F$10,0)</f>
        <v>0</v>
      </c>
      <c r="V29">
        <f>IF(M29=CharSheetFront!$A$11,CharSheetFront!$F$11,0)</f>
        <v>0</v>
      </c>
      <c r="W29">
        <f>IF(M29=CharSheetFront!$A$13,CharSheetFront!$F$13,0)</f>
        <v>0</v>
      </c>
      <c r="X29">
        <f>IF(M29=CharSheetFront!$A$14,CharSheetFront!$F$14,0)</f>
        <v>0</v>
      </c>
      <c r="Y29">
        <f>IF(M29=CharSheetFront!$A$15,CharSheetFront!$F$15,0)</f>
        <v>0</v>
      </c>
      <c r="Z29">
        <f>IF(M29=CharSheetFront!$A$16,CharSheetFront!$F$16,0)</f>
        <v>0</v>
      </c>
      <c r="AA29">
        <f>IF(M29=CharSheetFront!$A$17,CharSheetFront!$F$17,0)</f>
        <v>0</v>
      </c>
      <c r="AB29">
        <f>IF(M29=CharSheetFront!$A$18,CharSheetFront!$F$18,0)</f>
        <v>0</v>
      </c>
      <c r="AC29">
        <f>IF(M29=CharSheetFront!$A$20,CharSheetFront!$F$20,0)</f>
        <v>0</v>
      </c>
      <c r="AD29">
        <f>IF(M29=CharSheetFront!$A$21,CharSheetFront!$F$21,0)</f>
        <v>0</v>
      </c>
      <c r="AE29" t="e">
        <f t="shared" si="1"/>
        <v>#VALUE!</v>
      </c>
    </row>
    <row r="30" spans="1:31" ht="13.5" thickBot="1">
      <c r="A30" s="224" t="s">
        <v>741</v>
      </c>
      <c r="B30" s="2"/>
      <c r="C30" s="27"/>
      <c r="D30" s="2"/>
      <c r="E30" s="2"/>
      <c r="F30" s="2"/>
      <c r="G30" s="2"/>
      <c r="H30" s="70"/>
      <c r="I30" s="2"/>
      <c r="J30" s="29"/>
      <c r="K30" s="229"/>
      <c r="L30" s="30"/>
      <c r="M30" s="234">
        <f>IF(J30&gt;0,LOOKUP(J30,Skills!$A$2:$A$419,Skills!$B$2:$B$419),"")</f>
      </c>
      <c r="N30" s="30">
        <f t="shared" si="3"/>
      </c>
      <c r="O30" s="260">
        <f>IF(J30&gt;0,CharSheetFront!$T$22&amp;CharSheetBack!AE30,"")</f>
      </c>
      <c r="P30">
        <f t="shared" si="2"/>
        <v>0</v>
      </c>
      <c r="Q30">
        <f>IF(M30=CharSheetFront!$A$6,CharSheetFront!$F$6,0)</f>
        <v>0</v>
      </c>
      <c r="R30">
        <f>IF(M30=CharSheetFront!$A$7,CharSheetFront!$F$7,0)</f>
        <v>0</v>
      </c>
      <c r="S30">
        <f>IF(M30=CharSheetFront!$A$8,CharSheetFront!$F$8,0)</f>
        <v>0</v>
      </c>
      <c r="T30">
        <f>IF(M30=CharSheetFront!$A$9,CharSheetFront!$F$9,0)</f>
        <v>0</v>
      </c>
      <c r="U30">
        <f>IF(M30=CharSheetFront!$A$10,CharSheetFront!$F$10,0)</f>
        <v>0</v>
      </c>
      <c r="V30">
        <f>IF(M30=CharSheetFront!$A$11,CharSheetFront!$F$11,0)</f>
        <v>0</v>
      </c>
      <c r="W30">
        <f>IF(M30=CharSheetFront!$A$13,CharSheetFront!$F$13,0)</f>
        <v>0</v>
      </c>
      <c r="X30">
        <f>IF(M30=CharSheetFront!$A$14,CharSheetFront!$F$14,0)</f>
        <v>0</v>
      </c>
      <c r="Y30">
        <f>IF(M30=CharSheetFront!$A$15,CharSheetFront!$F$15,0)</f>
        <v>0</v>
      </c>
      <c r="Z30">
        <f>IF(M30=CharSheetFront!$A$16,CharSheetFront!$F$16,0)</f>
        <v>0</v>
      </c>
      <c r="AA30">
        <f>IF(M30=CharSheetFront!$A$17,CharSheetFront!$F$17,0)</f>
        <v>0</v>
      </c>
      <c r="AB30">
        <f>IF(M30=CharSheetFront!$A$18,CharSheetFront!$F$18,0)</f>
        <v>0</v>
      </c>
      <c r="AC30">
        <f>IF(M30=CharSheetFront!$A$20,CharSheetFront!$F$20,0)</f>
        <v>0</v>
      </c>
      <c r="AD30">
        <f>IF(M30=CharSheetFront!$A$21,CharSheetFront!$F$21,0)</f>
        <v>0</v>
      </c>
      <c r="AE30" t="e">
        <f t="shared" si="1"/>
        <v>#VALUE!</v>
      </c>
    </row>
    <row r="31" spans="1:15" ht="13.5" thickBot="1">
      <c r="A31" s="220" t="s">
        <v>742</v>
      </c>
      <c r="B31" s="188"/>
      <c r="C31" s="100"/>
      <c r="D31" s="115"/>
      <c r="E31" s="115"/>
      <c r="F31" s="118"/>
      <c r="G31" s="118"/>
      <c r="H31" s="127"/>
      <c r="I31" s="16"/>
      <c r="J31" s="2"/>
      <c r="K31" s="235"/>
      <c r="L31" s="9"/>
      <c r="M31" s="199"/>
      <c r="N31" s="9"/>
      <c r="O31" s="9"/>
    </row>
    <row r="32" spans="1:15" ht="12.75">
      <c r="A32" s="222" t="s">
        <v>743</v>
      </c>
      <c r="B32" s="2"/>
      <c r="C32" s="126"/>
      <c r="D32" s="9"/>
      <c r="E32" s="9"/>
      <c r="F32" s="9"/>
      <c r="G32" s="65"/>
      <c r="H32" s="28"/>
      <c r="I32" s="9"/>
      <c r="J32" s="196" t="s">
        <v>589</v>
      </c>
      <c r="K32" s="48"/>
      <c r="L32" s="47"/>
      <c r="M32" s="47"/>
      <c r="N32" s="48"/>
      <c r="O32" s="119"/>
    </row>
    <row r="33" spans="1:15" ht="13.5" thickBot="1">
      <c r="A33" s="223"/>
      <c r="B33" s="188"/>
      <c r="C33" s="128"/>
      <c r="D33" s="12"/>
      <c r="E33" s="12"/>
      <c r="F33" s="12"/>
      <c r="G33" s="113"/>
      <c r="H33" s="35"/>
      <c r="I33" s="12"/>
      <c r="J33" s="59" t="s">
        <v>458</v>
      </c>
      <c r="K33" s="124"/>
      <c r="L33" s="4"/>
      <c r="M33" s="4"/>
      <c r="N33" s="124"/>
      <c r="O33" s="125"/>
    </row>
    <row r="34" spans="1:15" ht="12.75">
      <c r="A34" s="195" t="s">
        <v>548</v>
      </c>
      <c r="B34" s="2"/>
      <c r="C34" s="126"/>
      <c r="D34" s="9"/>
      <c r="E34" s="9"/>
      <c r="F34" s="9"/>
      <c r="G34" s="65"/>
      <c r="H34" s="28"/>
      <c r="I34" s="12"/>
      <c r="J34" s="27" t="s">
        <v>459</v>
      </c>
      <c r="K34" s="2"/>
      <c r="L34" s="115"/>
      <c r="M34" s="65"/>
      <c r="N34" s="117"/>
      <c r="O34" s="28"/>
    </row>
    <row r="35" spans="1:15" ht="12.75">
      <c r="A35" s="220" t="s">
        <v>652</v>
      </c>
      <c r="B35" s="188"/>
      <c r="C35" s="128"/>
      <c r="D35" s="12"/>
      <c r="E35" s="12"/>
      <c r="F35" s="12"/>
      <c r="G35" s="113"/>
      <c r="H35" s="35"/>
      <c r="I35" s="12"/>
      <c r="J35" s="59" t="s">
        <v>245</v>
      </c>
      <c r="K35" s="124"/>
      <c r="L35" s="4"/>
      <c r="M35" s="4"/>
      <c r="N35" s="124"/>
      <c r="O35" s="125"/>
    </row>
    <row r="36" spans="1:15" ht="12.75">
      <c r="A36" s="224" t="s">
        <v>653</v>
      </c>
      <c r="B36" s="11"/>
      <c r="C36" s="128"/>
      <c r="D36" s="12"/>
      <c r="E36" s="12"/>
      <c r="F36" s="12"/>
      <c r="G36" s="113"/>
      <c r="H36" s="35"/>
      <c r="I36" s="12"/>
      <c r="J36" s="27" t="s">
        <v>246</v>
      </c>
      <c r="K36" s="2"/>
      <c r="L36" s="115"/>
      <c r="M36" s="65"/>
      <c r="N36" s="117"/>
      <c r="O36" s="28"/>
    </row>
    <row r="37" spans="1:15" ht="12.75">
      <c r="A37" s="220" t="s">
        <v>247</v>
      </c>
      <c r="B37" s="188"/>
      <c r="C37" s="128"/>
      <c r="D37" s="12"/>
      <c r="E37" s="12"/>
      <c r="F37" s="12"/>
      <c r="G37" s="113"/>
      <c r="H37" s="35"/>
      <c r="I37" s="12"/>
      <c r="J37" s="59" t="s">
        <v>374</v>
      </c>
      <c r="K37" s="124"/>
      <c r="L37" s="4"/>
      <c r="M37" s="4"/>
      <c r="N37" s="124"/>
      <c r="O37" s="125"/>
    </row>
    <row r="38" spans="1:15" ht="12.75">
      <c r="A38" s="222"/>
      <c r="B38" s="11"/>
      <c r="C38" s="128"/>
      <c r="D38" s="12"/>
      <c r="E38" s="12"/>
      <c r="F38" s="12"/>
      <c r="G38" s="113"/>
      <c r="H38" s="35"/>
      <c r="I38" s="2"/>
      <c r="J38" s="27" t="s">
        <v>1</v>
      </c>
      <c r="K38" s="2"/>
      <c r="L38" s="115"/>
      <c r="M38" s="65"/>
      <c r="N38" s="117"/>
      <c r="O38" s="28"/>
    </row>
    <row r="39" spans="1:15" ht="12.75">
      <c r="A39" s="220"/>
      <c r="B39" s="188"/>
      <c r="C39" s="128"/>
      <c r="D39" s="12"/>
      <c r="E39" s="12"/>
      <c r="F39" s="14"/>
      <c r="G39" s="14"/>
      <c r="H39" s="129"/>
      <c r="I39" s="14"/>
      <c r="J39" s="59" t="s">
        <v>320</v>
      </c>
      <c r="K39" s="124"/>
      <c r="L39" s="4"/>
      <c r="M39" s="4"/>
      <c r="N39" s="124"/>
      <c r="O39" s="125"/>
    </row>
    <row r="40" spans="1:15" ht="12.75">
      <c r="A40" s="222"/>
      <c r="B40" s="11"/>
      <c r="C40" s="128"/>
      <c r="D40" s="12"/>
      <c r="E40" s="12"/>
      <c r="F40" s="78"/>
      <c r="G40" s="17"/>
      <c r="H40" s="130"/>
      <c r="I40" s="78"/>
      <c r="J40" s="27" t="s">
        <v>533</v>
      </c>
      <c r="K40" s="2"/>
      <c r="L40" s="115"/>
      <c r="M40" s="65"/>
      <c r="N40" s="117"/>
      <c r="O40" s="28"/>
    </row>
    <row r="41" spans="1:15" ht="13.5" thickBot="1">
      <c r="A41" s="223"/>
      <c r="B41" s="188"/>
      <c r="C41" s="128"/>
      <c r="D41" s="12"/>
      <c r="E41" s="12"/>
      <c r="F41" s="17"/>
      <c r="G41" s="17"/>
      <c r="H41" s="130"/>
      <c r="I41" s="78"/>
      <c r="J41" s="59"/>
      <c r="K41" s="124"/>
      <c r="L41" s="4"/>
      <c r="M41" s="4"/>
      <c r="N41" s="124"/>
      <c r="O41" s="125"/>
    </row>
    <row r="42" spans="1:15" ht="12.75">
      <c r="A42" s="197" t="s">
        <v>549</v>
      </c>
      <c r="B42" s="11"/>
      <c r="C42" s="128"/>
      <c r="D42" s="12"/>
      <c r="E42" s="12"/>
      <c r="F42" s="17"/>
      <c r="G42" s="17"/>
      <c r="H42" s="80"/>
      <c r="I42" s="17"/>
      <c r="J42" s="27" t="s">
        <v>624</v>
      </c>
      <c r="K42" s="2"/>
      <c r="L42" s="115"/>
      <c r="M42" s="65"/>
      <c r="N42" s="117"/>
      <c r="O42" s="28"/>
    </row>
    <row r="43" spans="1:15" ht="12.75">
      <c r="A43" s="191" t="s">
        <v>661</v>
      </c>
      <c r="B43" s="188"/>
      <c r="C43" s="128"/>
      <c r="D43" s="12"/>
      <c r="E43" s="12"/>
      <c r="F43" s="17"/>
      <c r="G43" s="17"/>
      <c r="H43" s="80"/>
      <c r="I43" s="17"/>
      <c r="J43" s="59"/>
      <c r="K43" s="124"/>
      <c r="L43" s="4"/>
      <c r="M43" s="4"/>
      <c r="N43" s="124"/>
      <c r="O43" s="125"/>
    </row>
    <row r="44" spans="1:15" ht="12.75">
      <c r="A44" s="192"/>
      <c r="B44" s="11"/>
      <c r="C44" s="34"/>
      <c r="D44" s="11"/>
      <c r="E44" s="11"/>
      <c r="F44" s="91"/>
      <c r="G44" s="91"/>
      <c r="H44" s="92"/>
      <c r="I44" s="91"/>
      <c r="J44" s="27"/>
      <c r="K44" s="2"/>
      <c r="L44" s="115"/>
      <c r="M44" s="65"/>
      <c r="N44" s="117"/>
      <c r="O44" s="28"/>
    </row>
    <row r="45" spans="1:15" ht="12.75">
      <c r="A45" s="191"/>
      <c r="B45" s="188"/>
      <c r="C45" s="128"/>
      <c r="D45" s="12"/>
      <c r="E45" s="12"/>
      <c r="F45" s="17"/>
      <c r="G45" s="17"/>
      <c r="H45" s="80"/>
      <c r="I45" s="17"/>
      <c r="J45" s="59"/>
      <c r="K45" s="124"/>
      <c r="L45" s="4"/>
      <c r="M45" s="4"/>
      <c r="N45" s="124"/>
      <c r="O45" s="125"/>
    </row>
    <row r="46" spans="1:15" ht="13.5" thickBot="1">
      <c r="A46" s="194"/>
      <c r="B46" s="189"/>
      <c r="C46" s="131"/>
      <c r="D46" s="14"/>
      <c r="E46" s="14"/>
      <c r="F46" s="78"/>
      <c r="G46" s="17"/>
      <c r="H46" s="130"/>
      <c r="I46" s="78"/>
      <c r="J46" s="27"/>
      <c r="K46" s="2"/>
      <c r="L46" s="2"/>
      <c r="M46" s="65"/>
      <c r="N46" s="117"/>
      <c r="O46" s="28"/>
    </row>
    <row r="47" spans="1:15" ht="12.75">
      <c r="A47" s="197" t="s">
        <v>550</v>
      </c>
      <c r="B47" s="188"/>
      <c r="C47" s="131"/>
      <c r="D47" s="14"/>
      <c r="E47" s="14"/>
      <c r="F47" s="78"/>
      <c r="G47" s="17"/>
      <c r="H47" s="130"/>
      <c r="I47" s="78"/>
      <c r="J47" s="59"/>
      <c r="K47" s="124"/>
      <c r="L47" s="4"/>
      <c r="M47" s="4"/>
      <c r="N47" s="124"/>
      <c r="O47" s="125"/>
    </row>
    <row r="48" spans="1:15" ht="12.75">
      <c r="A48" s="193" t="s">
        <v>662</v>
      </c>
      <c r="B48" s="189"/>
      <c r="C48" s="131"/>
      <c r="D48" s="14"/>
      <c r="E48" s="14"/>
      <c r="F48" s="17"/>
      <c r="G48" s="17"/>
      <c r="H48" s="80"/>
      <c r="I48" s="17"/>
      <c r="J48" s="27"/>
      <c r="K48" s="2"/>
      <c r="L48" s="2"/>
      <c r="M48" s="65"/>
      <c r="N48" s="117"/>
      <c r="O48" s="28"/>
    </row>
    <row r="49" spans="1:15" ht="12.75">
      <c r="A49" s="191"/>
      <c r="B49" s="188"/>
      <c r="C49" s="131"/>
      <c r="D49" s="14"/>
      <c r="E49" s="14"/>
      <c r="F49" s="17"/>
      <c r="G49" s="17"/>
      <c r="H49" s="80"/>
      <c r="I49" s="17"/>
      <c r="J49" s="59"/>
      <c r="K49" s="124"/>
      <c r="L49" s="4"/>
      <c r="M49" s="4"/>
      <c r="N49" s="124"/>
      <c r="O49" s="125"/>
    </row>
    <row r="50" spans="1:15" ht="12.75">
      <c r="A50" s="193"/>
      <c r="B50" s="189"/>
      <c r="C50" s="131"/>
      <c r="D50" s="14"/>
      <c r="E50" s="14"/>
      <c r="F50" s="17"/>
      <c r="G50" s="17"/>
      <c r="H50" s="80"/>
      <c r="I50" s="17"/>
      <c r="J50" s="27"/>
      <c r="K50" s="69"/>
      <c r="L50" s="2"/>
      <c r="M50" s="2"/>
      <c r="N50" s="69"/>
      <c r="O50" s="70"/>
    </row>
    <row r="51" spans="1:15" ht="13.5" thickBot="1">
      <c r="A51" s="194"/>
      <c r="B51" s="33"/>
      <c r="C51" s="29"/>
      <c r="D51" s="33"/>
      <c r="E51" s="33"/>
      <c r="F51" s="33"/>
      <c r="G51" s="33"/>
      <c r="H51" s="108"/>
      <c r="I51" s="33"/>
      <c r="J51" s="29"/>
      <c r="K51" s="217"/>
      <c r="L51" s="33"/>
      <c r="M51" s="33"/>
      <c r="N51" s="217"/>
      <c r="O51" s="108"/>
    </row>
  </sheetData>
  <printOptions/>
  <pageMargins left="0.75" right="0.75" top="1" bottom="1" header="0.5" footer="0.5"/>
  <pageSetup fitToHeight="1" fitToWidth="1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N2" sqref="N2"/>
    </sheetView>
  </sheetViews>
  <sheetFormatPr defaultColWidth="11.00390625" defaultRowHeight="12"/>
  <cols>
    <col min="2" max="14" width="10.875" style="156" customWidth="1"/>
  </cols>
  <sheetData>
    <row r="1" spans="1:15" ht="93">
      <c r="A1" s="143" t="s">
        <v>727</v>
      </c>
      <c r="B1" s="143" t="s">
        <v>408</v>
      </c>
      <c r="C1" s="143" t="s">
        <v>796</v>
      </c>
      <c r="D1" s="143" t="s">
        <v>410</v>
      </c>
      <c r="E1" s="143" t="s">
        <v>411</v>
      </c>
      <c r="F1" s="143" t="s">
        <v>849</v>
      </c>
      <c r="G1" s="143" t="s">
        <v>1136</v>
      </c>
      <c r="H1" s="143" t="s">
        <v>953</v>
      </c>
      <c r="I1" s="143" t="s">
        <v>907</v>
      </c>
      <c r="J1" s="143" t="s">
        <v>1182</v>
      </c>
      <c r="K1" s="143" t="s">
        <v>1183</v>
      </c>
      <c r="L1" s="143" t="s">
        <v>1184</v>
      </c>
      <c r="M1" s="143" t="s">
        <v>911</v>
      </c>
      <c r="N1" s="143" t="s">
        <v>1029</v>
      </c>
      <c r="O1" s="143" t="s">
        <v>1228</v>
      </c>
    </row>
    <row r="2" spans="1:15" ht="12.75">
      <c r="A2" s="147" t="s">
        <v>826</v>
      </c>
      <c r="B2" s="148">
        <v>2</v>
      </c>
      <c r="C2" s="148">
        <v>2</v>
      </c>
      <c r="D2" s="146">
        <v>0</v>
      </c>
      <c r="E2" s="146">
        <v>0</v>
      </c>
      <c r="F2" s="148">
        <v>2</v>
      </c>
      <c r="G2" s="148">
        <v>2</v>
      </c>
      <c r="H2" s="146">
        <v>0</v>
      </c>
      <c r="I2" s="146">
        <v>0</v>
      </c>
      <c r="J2" s="146">
        <v>-2</v>
      </c>
      <c r="K2" s="146">
        <v>-2</v>
      </c>
      <c r="L2" s="146">
        <v>0</v>
      </c>
      <c r="M2" s="146">
        <v>-1</v>
      </c>
      <c r="N2" s="146">
        <v>0</v>
      </c>
      <c r="O2" t="s">
        <v>825</v>
      </c>
    </row>
    <row r="3" spans="1:15" ht="12.75">
      <c r="A3" s="147" t="s">
        <v>599</v>
      </c>
      <c r="B3" s="148">
        <v>4</v>
      </c>
      <c r="C3" s="148">
        <v>4</v>
      </c>
      <c r="D3" s="148">
        <v>-2</v>
      </c>
      <c r="E3" s="148">
        <v>-2</v>
      </c>
      <c r="F3" s="148">
        <v>4</v>
      </c>
      <c r="G3" s="148">
        <v>4</v>
      </c>
      <c r="H3" s="146">
        <v>-1</v>
      </c>
      <c r="I3" s="146">
        <v>0</v>
      </c>
      <c r="J3" s="146">
        <v>-2</v>
      </c>
      <c r="K3" s="146">
        <v>-2</v>
      </c>
      <c r="L3" s="146">
        <v>-1</v>
      </c>
      <c r="M3" s="146">
        <v>-2</v>
      </c>
      <c r="N3" s="148">
        <v>-1</v>
      </c>
      <c r="O3" t="s">
        <v>598</v>
      </c>
    </row>
    <row r="4" spans="1:15" ht="12.75">
      <c r="A4" s="147" t="s">
        <v>807</v>
      </c>
      <c r="B4" s="148">
        <v>4</v>
      </c>
      <c r="C4" s="148">
        <v>4</v>
      </c>
      <c r="D4" s="146">
        <v>0</v>
      </c>
      <c r="E4" s="146">
        <v>0</v>
      </c>
      <c r="F4" s="148">
        <v>2</v>
      </c>
      <c r="G4" s="148">
        <v>2</v>
      </c>
      <c r="H4" s="146">
        <v>0</v>
      </c>
      <c r="I4" s="146">
        <v>0</v>
      </c>
      <c r="J4" s="146">
        <v>-2</v>
      </c>
      <c r="K4" s="146">
        <v>-2</v>
      </c>
      <c r="L4" s="146">
        <v>-1</v>
      </c>
      <c r="M4" s="146">
        <v>-1</v>
      </c>
      <c r="N4" s="146">
        <v>0</v>
      </c>
      <c r="O4" t="s">
        <v>1189</v>
      </c>
    </row>
    <row r="5" spans="1:15" ht="12.75">
      <c r="A5" s="7" t="s">
        <v>1216</v>
      </c>
      <c r="B5" s="6">
        <v>1</v>
      </c>
      <c r="C5" s="6">
        <v>0</v>
      </c>
      <c r="D5" s="6">
        <v>-1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1</v>
      </c>
      <c r="N5" s="6">
        <v>0</v>
      </c>
      <c r="O5" t="s">
        <v>1220</v>
      </c>
    </row>
    <row r="6" spans="1:15" ht="12.75">
      <c r="A6" s="147" t="s">
        <v>824</v>
      </c>
      <c r="B6" s="148">
        <v>6</v>
      </c>
      <c r="C6" s="148">
        <v>6</v>
      </c>
      <c r="D6" s="146">
        <v>-2</v>
      </c>
      <c r="E6" s="146">
        <v>-2</v>
      </c>
      <c r="F6" s="146">
        <v>0</v>
      </c>
      <c r="G6" s="148">
        <v>4</v>
      </c>
      <c r="H6" s="146">
        <v>0</v>
      </c>
      <c r="I6" s="146">
        <v>0</v>
      </c>
      <c r="J6" s="146">
        <v>-1</v>
      </c>
      <c r="K6" s="146">
        <v>-1</v>
      </c>
      <c r="L6" s="146">
        <v>-1</v>
      </c>
      <c r="M6" s="146">
        <v>-2</v>
      </c>
      <c r="N6" s="148">
        <v>-1</v>
      </c>
      <c r="O6" t="s">
        <v>598</v>
      </c>
    </row>
    <row r="7" spans="1:15" ht="12.75">
      <c r="A7" s="147" t="s">
        <v>827</v>
      </c>
      <c r="B7" s="146">
        <v>0</v>
      </c>
      <c r="C7" s="146">
        <v>0</v>
      </c>
      <c r="D7" s="146">
        <v>0</v>
      </c>
      <c r="E7" s="146">
        <v>0</v>
      </c>
      <c r="F7" s="146">
        <v>-1</v>
      </c>
      <c r="G7" s="146">
        <v>-1</v>
      </c>
      <c r="H7" s="146">
        <v>0</v>
      </c>
      <c r="I7" s="146">
        <v>0</v>
      </c>
      <c r="J7" s="146">
        <v>-3</v>
      </c>
      <c r="K7" s="146">
        <v>-3</v>
      </c>
      <c r="L7" s="146">
        <v>-1</v>
      </c>
      <c r="M7" s="146">
        <v>-1</v>
      </c>
      <c r="N7" s="146">
        <v>0</v>
      </c>
      <c r="O7" t="s">
        <v>825</v>
      </c>
    </row>
    <row r="8" spans="1:15" ht="12.75">
      <c r="A8" s="147" t="s">
        <v>828</v>
      </c>
      <c r="B8" s="148">
        <v>2</v>
      </c>
      <c r="C8" s="148">
        <v>2</v>
      </c>
      <c r="D8" s="146">
        <v>0</v>
      </c>
      <c r="E8" s="146">
        <v>0</v>
      </c>
      <c r="F8" s="148">
        <v>2</v>
      </c>
      <c r="G8" s="148">
        <v>4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8">
        <v>-1</v>
      </c>
      <c r="O8" t="s">
        <v>825</v>
      </c>
    </row>
    <row r="9" spans="1:15" ht="12.75">
      <c r="A9" s="147" t="s">
        <v>829</v>
      </c>
      <c r="B9" s="148">
        <v>8</v>
      </c>
      <c r="C9" s="148">
        <v>8</v>
      </c>
      <c r="D9" s="146">
        <v>0</v>
      </c>
      <c r="E9" s="148">
        <v>2</v>
      </c>
      <c r="F9" s="146">
        <v>4</v>
      </c>
      <c r="G9" s="146">
        <v>4</v>
      </c>
      <c r="H9" s="146">
        <v>0</v>
      </c>
      <c r="I9" s="146">
        <v>0</v>
      </c>
      <c r="J9" s="146">
        <v>-2</v>
      </c>
      <c r="K9" s="146">
        <v>-2</v>
      </c>
      <c r="L9" s="146">
        <v>-1</v>
      </c>
      <c r="M9" s="146">
        <v>0</v>
      </c>
      <c r="N9" s="148">
        <v>-2</v>
      </c>
      <c r="O9" t="s">
        <v>825</v>
      </c>
    </row>
    <row r="10" spans="1:15" ht="12.75">
      <c r="A10" s="147" t="s">
        <v>809</v>
      </c>
      <c r="B10" s="146">
        <v>0</v>
      </c>
      <c r="C10" s="146">
        <v>-1</v>
      </c>
      <c r="D10" s="148">
        <v>3</v>
      </c>
      <c r="E10" s="148">
        <v>3</v>
      </c>
      <c r="F10" s="146">
        <v>0</v>
      </c>
      <c r="G10" s="146">
        <v>0</v>
      </c>
      <c r="H10" s="146">
        <v>0</v>
      </c>
      <c r="I10" s="146">
        <v>0</v>
      </c>
      <c r="J10" s="146">
        <v>-3</v>
      </c>
      <c r="K10" s="146">
        <v>-3</v>
      </c>
      <c r="L10" s="148">
        <v>1</v>
      </c>
      <c r="M10" s="148">
        <v>1</v>
      </c>
      <c r="N10" s="148">
        <v>0</v>
      </c>
      <c r="O10" t="s">
        <v>1189</v>
      </c>
    </row>
    <row r="11" spans="1:15" ht="12.75">
      <c r="A11" s="147" t="s">
        <v>1054</v>
      </c>
      <c r="B11" s="146">
        <v>-3</v>
      </c>
      <c r="C11" s="146">
        <v>-3</v>
      </c>
      <c r="D11" s="146">
        <v>-3</v>
      </c>
      <c r="E11" s="146">
        <v>-3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-2</v>
      </c>
      <c r="M11" s="146">
        <v>-2</v>
      </c>
      <c r="N11" s="146">
        <v>2</v>
      </c>
      <c r="O11" t="s">
        <v>825</v>
      </c>
    </row>
    <row r="12" spans="1:15" ht="12.75">
      <c r="A12" s="147" t="s">
        <v>1055</v>
      </c>
      <c r="B12" s="148">
        <v>10</v>
      </c>
      <c r="C12" s="148">
        <v>10</v>
      </c>
      <c r="D12" s="146">
        <v>-2</v>
      </c>
      <c r="E12" s="146">
        <v>-2</v>
      </c>
      <c r="F12" s="146">
        <v>0</v>
      </c>
      <c r="G12" s="146">
        <v>0</v>
      </c>
      <c r="H12" s="146">
        <v>0</v>
      </c>
      <c r="I12" s="146">
        <v>0</v>
      </c>
      <c r="J12" s="146">
        <v>-3</v>
      </c>
      <c r="K12" s="146">
        <v>0</v>
      </c>
      <c r="L12" s="146">
        <v>-1</v>
      </c>
      <c r="M12" s="146">
        <v>-2</v>
      </c>
      <c r="N12" s="148">
        <v>-3</v>
      </c>
      <c r="O12" t="s">
        <v>825</v>
      </c>
    </row>
    <row r="13" spans="1:15" ht="12.75">
      <c r="A13" s="147" t="s">
        <v>1056</v>
      </c>
      <c r="B13" s="148">
        <v>14</v>
      </c>
      <c r="C13" s="148">
        <v>14</v>
      </c>
      <c r="D13" s="146">
        <v>-3</v>
      </c>
      <c r="E13" s="146">
        <v>-3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-1</v>
      </c>
      <c r="M13" s="146">
        <v>-2</v>
      </c>
      <c r="N13" s="148">
        <v>-4</v>
      </c>
      <c r="O13" t="s">
        <v>825</v>
      </c>
    </row>
    <row r="14" spans="1:15" ht="12.75">
      <c r="A14" s="147" t="s">
        <v>1057</v>
      </c>
      <c r="B14" s="146">
        <v>0</v>
      </c>
      <c r="C14" s="146">
        <v>0</v>
      </c>
      <c r="D14" s="146">
        <v>0</v>
      </c>
      <c r="E14" s="148">
        <v>2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-1</v>
      </c>
      <c r="M14" s="146">
        <v>0</v>
      </c>
      <c r="N14" s="146">
        <v>0</v>
      </c>
      <c r="O14" t="s">
        <v>825</v>
      </c>
    </row>
    <row r="15" spans="1:15" ht="12.75">
      <c r="A15" s="7" t="s">
        <v>999</v>
      </c>
      <c r="B15" s="6">
        <v>-2</v>
      </c>
      <c r="C15" s="6">
        <v>0</v>
      </c>
      <c r="D15" s="6">
        <v>-1</v>
      </c>
      <c r="E15" s="6">
        <v>0</v>
      </c>
      <c r="F15" s="6">
        <v>0</v>
      </c>
      <c r="G15" s="6">
        <v>0</v>
      </c>
      <c r="H15" s="6">
        <v>-2</v>
      </c>
      <c r="I15" s="6">
        <v>0</v>
      </c>
      <c r="J15" s="6">
        <v>2</v>
      </c>
      <c r="K15" s="6">
        <v>2</v>
      </c>
      <c r="L15" s="6">
        <v>-1</v>
      </c>
      <c r="M15" s="6">
        <v>-1</v>
      </c>
      <c r="N15" s="6">
        <v>1</v>
      </c>
      <c r="O15" t="s">
        <v>1220</v>
      </c>
    </row>
    <row r="16" spans="1:15" ht="12.75">
      <c r="A16" s="7" t="s">
        <v>1032</v>
      </c>
      <c r="B16" s="144">
        <v>4</v>
      </c>
      <c r="C16" s="144">
        <v>4</v>
      </c>
      <c r="D16" s="144">
        <v>0</v>
      </c>
      <c r="E16" s="144">
        <v>-1</v>
      </c>
      <c r="F16" s="144">
        <v>4</v>
      </c>
      <c r="G16" s="144">
        <v>2</v>
      </c>
      <c r="H16" s="144">
        <v>0</v>
      </c>
      <c r="I16" s="144">
        <v>1</v>
      </c>
      <c r="J16" s="144">
        <v>0</v>
      </c>
      <c r="K16" s="144">
        <v>0</v>
      </c>
      <c r="L16" s="144">
        <v>0</v>
      </c>
      <c r="M16" s="144">
        <v>0</v>
      </c>
      <c r="N16" s="6">
        <v>1</v>
      </c>
      <c r="O16" t="s">
        <v>1229</v>
      </c>
    </row>
    <row r="17" spans="1:15" ht="12.75">
      <c r="A17" s="7" t="s">
        <v>1075</v>
      </c>
      <c r="B17" s="6">
        <v>2</v>
      </c>
      <c r="C17" s="6">
        <v>0</v>
      </c>
      <c r="D17" s="6">
        <v>0</v>
      </c>
      <c r="E17" s="6">
        <v>0</v>
      </c>
      <c r="F17" s="6">
        <v>-1</v>
      </c>
      <c r="G17" s="6">
        <v>2</v>
      </c>
      <c r="H17" s="6">
        <v>0</v>
      </c>
      <c r="I17" s="6">
        <v>1</v>
      </c>
      <c r="J17" s="6">
        <v>0</v>
      </c>
      <c r="K17" s="6">
        <v>0</v>
      </c>
      <c r="L17" s="6">
        <v>1</v>
      </c>
      <c r="M17" s="6">
        <v>-2</v>
      </c>
      <c r="N17" s="6">
        <v>-5</v>
      </c>
      <c r="O17" t="s">
        <v>1001</v>
      </c>
    </row>
    <row r="18" spans="1:15" ht="12.75">
      <c r="A18" s="7" t="s">
        <v>1033</v>
      </c>
      <c r="B18" s="6">
        <v>0</v>
      </c>
      <c r="C18" s="6">
        <v>0</v>
      </c>
      <c r="D18" s="144">
        <v>4</v>
      </c>
      <c r="E18" s="144">
        <v>4</v>
      </c>
      <c r="F18" s="6">
        <v>0</v>
      </c>
      <c r="G18" s="144">
        <v>-2</v>
      </c>
      <c r="H18" s="144">
        <v>1</v>
      </c>
      <c r="I18" s="144">
        <v>1</v>
      </c>
      <c r="J18" s="144">
        <v>2</v>
      </c>
      <c r="K18" s="144">
        <v>2</v>
      </c>
      <c r="L18" s="144">
        <v>1</v>
      </c>
      <c r="M18" s="144">
        <v>4</v>
      </c>
      <c r="N18" s="6">
        <v>0</v>
      </c>
      <c r="O18" t="s">
        <v>1229</v>
      </c>
    </row>
    <row r="19" spans="1:15" ht="12.75">
      <c r="A19" s="147" t="s">
        <v>808</v>
      </c>
      <c r="B19" s="148">
        <v>6</v>
      </c>
      <c r="C19" s="148">
        <v>6</v>
      </c>
      <c r="D19" s="148">
        <v>-2</v>
      </c>
      <c r="E19" s="148">
        <v>-2</v>
      </c>
      <c r="F19" s="148">
        <v>2</v>
      </c>
      <c r="G19" s="148">
        <v>2</v>
      </c>
      <c r="H19" s="146">
        <v>0</v>
      </c>
      <c r="I19" s="146">
        <v>0</v>
      </c>
      <c r="J19" s="146">
        <v>-2</v>
      </c>
      <c r="K19" s="146">
        <v>-2</v>
      </c>
      <c r="L19" s="146">
        <v>-2</v>
      </c>
      <c r="M19" s="146">
        <v>-2</v>
      </c>
      <c r="N19" s="148">
        <v>-1</v>
      </c>
      <c r="O19" t="s">
        <v>1189</v>
      </c>
    </row>
    <row r="20" spans="1:15" ht="12.75">
      <c r="A20" s="147" t="s">
        <v>1201</v>
      </c>
      <c r="B20" s="148">
        <v>2</v>
      </c>
      <c r="C20" s="148">
        <v>2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8">
        <v>2</v>
      </c>
      <c r="K20" s="148">
        <v>2</v>
      </c>
      <c r="L20" s="146">
        <v>-1</v>
      </c>
      <c r="M20" s="146">
        <v>-2</v>
      </c>
      <c r="N20" s="146">
        <v>0</v>
      </c>
      <c r="O20" t="s">
        <v>598</v>
      </c>
    </row>
    <row r="21" spans="1:15" ht="12.75">
      <c r="A21" s="7" t="s">
        <v>1034</v>
      </c>
      <c r="B21" s="144">
        <v>-4</v>
      </c>
      <c r="C21" s="144">
        <v>2</v>
      </c>
      <c r="D21" s="144">
        <v>2</v>
      </c>
      <c r="E21" s="144">
        <v>2</v>
      </c>
      <c r="F21" s="144">
        <v>2</v>
      </c>
      <c r="G21" s="144">
        <v>2</v>
      </c>
      <c r="H21" s="144">
        <v>0</v>
      </c>
      <c r="I21" s="144">
        <v>0</v>
      </c>
      <c r="J21" s="144">
        <v>0</v>
      </c>
      <c r="K21" s="144">
        <v>-1</v>
      </c>
      <c r="L21" s="144">
        <v>-1</v>
      </c>
      <c r="M21" s="144">
        <v>0</v>
      </c>
      <c r="N21" s="6">
        <v>2</v>
      </c>
      <c r="O21" t="s">
        <v>1229</v>
      </c>
    </row>
    <row r="22" spans="1:15" ht="12.75">
      <c r="A22" s="7" t="s">
        <v>1221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46">
        <v>0</v>
      </c>
      <c r="N22" s="6">
        <v>-2</v>
      </c>
      <c r="O22" t="s">
        <v>1220</v>
      </c>
    </row>
    <row r="23" spans="1:15" ht="12.75">
      <c r="A23" s="147" t="s">
        <v>600</v>
      </c>
      <c r="B23" s="146">
        <v>-1</v>
      </c>
      <c r="C23" s="146">
        <v>-1</v>
      </c>
      <c r="D23" s="148">
        <v>2</v>
      </c>
      <c r="E23" s="148">
        <v>2</v>
      </c>
      <c r="F23" s="146">
        <v>-1</v>
      </c>
      <c r="G23" s="146">
        <v>-1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-1</v>
      </c>
      <c r="N23" s="146">
        <v>1</v>
      </c>
      <c r="O23" t="s">
        <v>598</v>
      </c>
    </row>
    <row r="24" spans="1:15" ht="12.75">
      <c r="A24" s="147" t="s">
        <v>817</v>
      </c>
      <c r="B24" s="146">
        <v>0</v>
      </c>
      <c r="C24" s="146">
        <v>0</v>
      </c>
      <c r="D24" s="148">
        <v>1</v>
      </c>
      <c r="E24" s="148">
        <v>1</v>
      </c>
      <c r="F24" s="146">
        <v>0</v>
      </c>
      <c r="G24" s="146">
        <v>0</v>
      </c>
      <c r="H24" s="146">
        <v>0</v>
      </c>
      <c r="I24" s="146">
        <v>0</v>
      </c>
      <c r="J24" s="148">
        <v>1</v>
      </c>
      <c r="K24" s="148">
        <v>1</v>
      </c>
      <c r="L24" s="146">
        <v>-1</v>
      </c>
      <c r="M24" s="146">
        <v>-1</v>
      </c>
      <c r="N24" s="146">
        <v>0</v>
      </c>
      <c r="O24" t="s">
        <v>598</v>
      </c>
    </row>
    <row r="25" spans="1:15" ht="12.75">
      <c r="A25" s="147" t="s">
        <v>818</v>
      </c>
      <c r="B25" s="146">
        <v>0</v>
      </c>
      <c r="C25" s="146">
        <v>0</v>
      </c>
      <c r="D25" s="148">
        <v>1</v>
      </c>
      <c r="E25" s="148">
        <v>1</v>
      </c>
      <c r="F25" s="148">
        <v>1</v>
      </c>
      <c r="G25" s="148">
        <v>1</v>
      </c>
      <c r="H25" s="146">
        <v>0</v>
      </c>
      <c r="I25" s="146">
        <v>0</v>
      </c>
      <c r="J25" s="146">
        <v>-1</v>
      </c>
      <c r="K25" s="146">
        <v>-1</v>
      </c>
      <c r="L25" s="146">
        <v>-1</v>
      </c>
      <c r="M25" s="146">
        <v>-1</v>
      </c>
      <c r="N25" s="146">
        <v>0</v>
      </c>
      <c r="O25" t="s">
        <v>598</v>
      </c>
    </row>
    <row r="26" spans="1:15" ht="12.75">
      <c r="A26" s="7" t="s">
        <v>1035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t="s">
        <v>1229</v>
      </c>
    </row>
    <row r="27" spans="1:15" ht="12.75">
      <c r="A27" s="147" t="s">
        <v>1035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t="s">
        <v>825</v>
      </c>
    </row>
    <row r="28" spans="1:15" ht="12.75">
      <c r="A28" s="7" t="s">
        <v>1218</v>
      </c>
      <c r="B28" s="6">
        <v>2</v>
      </c>
      <c r="C28" s="6">
        <v>0</v>
      </c>
      <c r="D28" s="6">
        <v>1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-1</v>
      </c>
      <c r="M28" s="6">
        <v>-1</v>
      </c>
      <c r="N28" s="6">
        <v>-1</v>
      </c>
      <c r="O28" t="s">
        <v>1220</v>
      </c>
    </row>
    <row r="29" spans="1:15" ht="12.75">
      <c r="A29" s="7" t="s">
        <v>1004</v>
      </c>
      <c r="B29" s="6">
        <v>1</v>
      </c>
      <c r="C29" s="6">
        <v>1</v>
      </c>
      <c r="D29" s="6">
        <v>1</v>
      </c>
      <c r="E29" s="6">
        <v>1</v>
      </c>
      <c r="F29" s="6">
        <v>3</v>
      </c>
      <c r="G29" s="6">
        <v>3</v>
      </c>
      <c r="H29" s="6">
        <v>-3</v>
      </c>
      <c r="I29" s="6">
        <v>0</v>
      </c>
      <c r="J29" s="6">
        <v>-3</v>
      </c>
      <c r="K29" s="6">
        <v>-3</v>
      </c>
      <c r="L29" s="6">
        <v>-2</v>
      </c>
      <c r="M29" s="6">
        <v>-2</v>
      </c>
      <c r="N29" s="6">
        <v>-1</v>
      </c>
      <c r="O29" t="s">
        <v>1001</v>
      </c>
    </row>
    <row r="30" spans="1:15" ht="12.75">
      <c r="A30" s="7" t="s">
        <v>1217</v>
      </c>
      <c r="B30" s="6">
        <v>2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-2</v>
      </c>
      <c r="I30" s="6">
        <v>0</v>
      </c>
      <c r="J30" s="6">
        <v>0</v>
      </c>
      <c r="K30" s="6">
        <v>0</v>
      </c>
      <c r="L30" s="6">
        <v>-2</v>
      </c>
      <c r="M30" s="6">
        <v>0</v>
      </c>
      <c r="N30" s="6">
        <v>-4</v>
      </c>
      <c r="O30" t="s">
        <v>1220</v>
      </c>
    </row>
    <row r="31" spans="1:15" ht="12.75">
      <c r="A31" s="7" t="s">
        <v>1005</v>
      </c>
      <c r="B31" s="6">
        <v>2</v>
      </c>
      <c r="C31" s="6">
        <v>0</v>
      </c>
      <c r="D31" s="6">
        <v>-1</v>
      </c>
      <c r="E31" s="6">
        <v>-2</v>
      </c>
      <c r="F31" s="6">
        <v>2</v>
      </c>
      <c r="G31" s="6">
        <v>2</v>
      </c>
      <c r="H31" s="6">
        <v>-2</v>
      </c>
      <c r="I31" s="6">
        <v>1</v>
      </c>
      <c r="J31" s="6">
        <v>-3</v>
      </c>
      <c r="K31" s="6">
        <v>-3</v>
      </c>
      <c r="L31" s="6">
        <v>-3</v>
      </c>
      <c r="M31" s="6">
        <v>-2</v>
      </c>
      <c r="N31" s="6">
        <v>-4</v>
      </c>
      <c r="O31" t="s">
        <v>1001</v>
      </c>
    </row>
    <row r="32" spans="1:15" ht="12.75">
      <c r="A32" s="147" t="s">
        <v>1190</v>
      </c>
      <c r="B32" s="148">
        <v>4</v>
      </c>
      <c r="C32" s="148">
        <v>4</v>
      </c>
      <c r="D32" s="146">
        <v>0</v>
      </c>
      <c r="E32" s="146">
        <v>0</v>
      </c>
      <c r="F32" s="148">
        <v>2</v>
      </c>
      <c r="G32" s="148">
        <v>4</v>
      </c>
      <c r="H32" s="146">
        <v>0</v>
      </c>
      <c r="I32" s="146">
        <v>0</v>
      </c>
      <c r="J32" s="146">
        <v>-1</v>
      </c>
      <c r="K32" s="146">
        <v>-1</v>
      </c>
      <c r="L32" s="146">
        <v>-1</v>
      </c>
      <c r="M32" s="146">
        <v>-1</v>
      </c>
      <c r="N32" s="146">
        <v>0</v>
      </c>
      <c r="O32" t="s">
        <v>1189</v>
      </c>
    </row>
    <row r="33" spans="1:15" ht="12.75">
      <c r="A33" s="147" t="s">
        <v>815</v>
      </c>
      <c r="B33" s="148">
        <v>1</v>
      </c>
      <c r="C33" s="148">
        <v>1</v>
      </c>
      <c r="D33" s="148">
        <v>2</v>
      </c>
      <c r="E33" s="148">
        <v>2</v>
      </c>
      <c r="F33" s="148">
        <v>1</v>
      </c>
      <c r="G33" s="148">
        <v>1</v>
      </c>
      <c r="H33" s="148">
        <v>1</v>
      </c>
      <c r="I33" s="146">
        <v>0</v>
      </c>
      <c r="J33" s="148">
        <v>3</v>
      </c>
      <c r="K33" s="148">
        <v>5</v>
      </c>
      <c r="L33" s="146">
        <v>0</v>
      </c>
      <c r="M33" s="146">
        <v>0</v>
      </c>
      <c r="N33" s="146">
        <v>0</v>
      </c>
      <c r="O33" t="s">
        <v>598</v>
      </c>
    </row>
    <row r="34" spans="1:15" ht="12.75">
      <c r="A34" s="147" t="s">
        <v>1058</v>
      </c>
      <c r="B34" s="148">
        <v>-1</v>
      </c>
      <c r="C34" s="148">
        <v>-1</v>
      </c>
      <c r="D34" s="146">
        <v>0</v>
      </c>
      <c r="E34" s="146">
        <v>0</v>
      </c>
      <c r="F34" s="146">
        <v>0</v>
      </c>
      <c r="G34" s="148">
        <v>-1</v>
      </c>
      <c r="H34" s="146">
        <v>0</v>
      </c>
      <c r="I34" s="146">
        <v>0</v>
      </c>
      <c r="J34" s="148">
        <v>2</v>
      </c>
      <c r="K34" s="148">
        <v>2</v>
      </c>
      <c r="L34" s="146">
        <v>0</v>
      </c>
      <c r="M34" s="146">
        <v>0</v>
      </c>
      <c r="N34" s="148">
        <v>1</v>
      </c>
      <c r="O34" t="s">
        <v>825</v>
      </c>
    </row>
    <row r="35" spans="1:15" ht="12.75">
      <c r="A35" s="147" t="s">
        <v>816</v>
      </c>
      <c r="B35" s="148">
        <v>2</v>
      </c>
      <c r="C35" s="148">
        <v>2</v>
      </c>
      <c r="D35" s="148">
        <v>2</v>
      </c>
      <c r="E35" s="148">
        <v>2</v>
      </c>
      <c r="F35" s="146">
        <v>0</v>
      </c>
      <c r="G35" s="146">
        <v>0</v>
      </c>
      <c r="H35" s="148">
        <v>1</v>
      </c>
      <c r="I35" s="146">
        <v>0</v>
      </c>
      <c r="J35" s="146">
        <v>-1</v>
      </c>
      <c r="K35" s="146">
        <v>-1</v>
      </c>
      <c r="L35" s="146">
        <v>0</v>
      </c>
      <c r="M35" s="146">
        <v>0</v>
      </c>
      <c r="N35" s="148">
        <v>2</v>
      </c>
      <c r="O35" t="s">
        <v>598</v>
      </c>
    </row>
    <row r="36" spans="1:15" ht="12.75">
      <c r="A36" s="7" t="s">
        <v>1036</v>
      </c>
      <c r="B36" s="144">
        <v>4</v>
      </c>
      <c r="C36" s="144">
        <v>4</v>
      </c>
      <c r="D36" s="6">
        <v>0</v>
      </c>
      <c r="E36" s="6">
        <v>0</v>
      </c>
      <c r="F36" s="144">
        <v>4</v>
      </c>
      <c r="G36" s="144">
        <v>6</v>
      </c>
      <c r="H36" s="144">
        <v>-1</v>
      </c>
      <c r="I36" s="144">
        <v>-1</v>
      </c>
      <c r="J36" s="144">
        <v>0</v>
      </c>
      <c r="K36" s="144">
        <v>0</v>
      </c>
      <c r="L36" s="144">
        <v>-1</v>
      </c>
      <c r="M36" s="144">
        <v>-2</v>
      </c>
      <c r="N36" s="144">
        <v>-1</v>
      </c>
      <c r="O36" t="s">
        <v>1229</v>
      </c>
    </row>
    <row r="37" spans="1:15" ht="12.75">
      <c r="A37" s="147" t="s">
        <v>601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8">
        <v>1</v>
      </c>
      <c r="K37" s="148">
        <v>1</v>
      </c>
      <c r="L37" s="146">
        <v>0</v>
      </c>
      <c r="M37" s="146">
        <v>-1</v>
      </c>
      <c r="N37" s="146">
        <v>0</v>
      </c>
      <c r="O37" t="s">
        <v>598</v>
      </c>
    </row>
    <row r="38" spans="1:15" ht="12.75">
      <c r="A38" s="147" t="s">
        <v>602</v>
      </c>
      <c r="B38" s="146">
        <v>0</v>
      </c>
      <c r="C38" s="146">
        <v>0</v>
      </c>
      <c r="D38" s="148">
        <v>1</v>
      </c>
      <c r="E38" s="148">
        <v>1</v>
      </c>
      <c r="F38" s="146">
        <v>0</v>
      </c>
      <c r="G38" s="146">
        <v>0</v>
      </c>
      <c r="H38" s="146">
        <v>0</v>
      </c>
      <c r="I38" s="146">
        <v>0</v>
      </c>
      <c r="J38" s="148">
        <v>2</v>
      </c>
      <c r="K38" s="148">
        <v>2</v>
      </c>
      <c r="L38" s="146">
        <v>0</v>
      </c>
      <c r="M38" s="146">
        <v>0</v>
      </c>
      <c r="N38" s="146">
        <v>0</v>
      </c>
      <c r="O38" t="s">
        <v>598</v>
      </c>
    </row>
    <row r="39" spans="1:15" ht="12.75">
      <c r="A39" s="7" t="s">
        <v>1227</v>
      </c>
      <c r="B39" s="6">
        <v>0</v>
      </c>
      <c r="C39" s="6">
        <v>0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3</v>
      </c>
      <c r="J39" s="6">
        <v>0</v>
      </c>
      <c r="K39" s="6">
        <v>0</v>
      </c>
      <c r="L39" s="6">
        <v>2</v>
      </c>
      <c r="M39" s="6">
        <v>-2</v>
      </c>
      <c r="N39" s="6">
        <v>3</v>
      </c>
      <c r="O39" t="s">
        <v>1001</v>
      </c>
    </row>
    <row r="40" spans="1:15" ht="12.75">
      <c r="A40" s="147" t="s">
        <v>810</v>
      </c>
      <c r="B40" s="146">
        <v>-1</v>
      </c>
      <c r="C40" s="146">
        <v>-1</v>
      </c>
      <c r="D40" s="148">
        <v>2</v>
      </c>
      <c r="E40" s="148">
        <v>2</v>
      </c>
      <c r="F40" s="146">
        <v>0</v>
      </c>
      <c r="G40" s="146">
        <v>-1</v>
      </c>
      <c r="H40" s="146">
        <v>0</v>
      </c>
      <c r="I40" s="146">
        <v>0</v>
      </c>
      <c r="J40" s="146">
        <v>0</v>
      </c>
      <c r="K40" s="146">
        <v>0</v>
      </c>
      <c r="L40" s="146">
        <v>-1</v>
      </c>
      <c r="M40" s="146">
        <v>-2</v>
      </c>
      <c r="N40" s="148">
        <v>1</v>
      </c>
      <c r="O40" t="s">
        <v>598</v>
      </c>
    </row>
    <row r="41" spans="1:15" ht="12.75">
      <c r="A41" s="147" t="s">
        <v>1059</v>
      </c>
      <c r="B41" s="146">
        <v>0</v>
      </c>
      <c r="C41" s="146">
        <v>0</v>
      </c>
      <c r="D41" s="148">
        <v>3</v>
      </c>
      <c r="E41" s="148">
        <v>3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-2</v>
      </c>
      <c r="N41" s="146">
        <v>0</v>
      </c>
      <c r="O41" t="s">
        <v>825</v>
      </c>
    </row>
    <row r="42" spans="1:15" ht="12.75">
      <c r="A42" s="7" t="s">
        <v>1037</v>
      </c>
      <c r="B42" s="144">
        <v>1</v>
      </c>
      <c r="C42" s="144">
        <v>1</v>
      </c>
      <c r="D42" s="144">
        <v>1</v>
      </c>
      <c r="E42" s="144">
        <v>2</v>
      </c>
      <c r="F42" s="144">
        <v>1</v>
      </c>
      <c r="G42" s="144">
        <v>1</v>
      </c>
      <c r="H42" s="144">
        <v>0</v>
      </c>
      <c r="I42" s="144">
        <v>0</v>
      </c>
      <c r="J42" s="144">
        <v>0</v>
      </c>
      <c r="K42" s="144">
        <v>0</v>
      </c>
      <c r="L42" s="144">
        <v>1</v>
      </c>
      <c r="M42" s="144">
        <v>-2</v>
      </c>
      <c r="N42" s="6">
        <v>0</v>
      </c>
      <c r="O42" t="s">
        <v>1229</v>
      </c>
    </row>
    <row r="43" spans="1:15" ht="12.75">
      <c r="A43" s="7" t="s">
        <v>1038</v>
      </c>
      <c r="B43" s="144">
        <v>12</v>
      </c>
      <c r="C43" s="144">
        <v>12</v>
      </c>
      <c r="D43" s="144">
        <v>-2</v>
      </c>
      <c r="E43" s="144">
        <v>-4</v>
      </c>
      <c r="F43" s="144">
        <v>8</v>
      </c>
      <c r="G43" s="144">
        <v>8</v>
      </c>
      <c r="H43" s="144">
        <v>0</v>
      </c>
      <c r="I43" s="144">
        <v>2</v>
      </c>
      <c r="J43" s="144">
        <v>-1</v>
      </c>
      <c r="K43" s="144">
        <v>-1</v>
      </c>
      <c r="L43" s="144">
        <v>1</v>
      </c>
      <c r="M43" s="144">
        <v>-1</v>
      </c>
      <c r="N43" s="144">
        <v>-1</v>
      </c>
      <c r="O43" t="s">
        <v>1229</v>
      </c>
    </row>
    <row r="44" spans="1:15" ht="12.75">
      <c r="A44" s="147" t="s">
        <v>806</v>
      </c>
      <c r="B44" s="148">
        <v>14</v>
      </c>
      <c r="C44" s="148">
        <v>4</v>
      </c>
      <c r="D44" s="148">
        <v>1</v>
      </c>
      <c r="E44" s="148">
        <v>1</v>
      </c>
      <c r="F44" s="148">
        <v>4</v>
      </c>
      <c r="G44" s="148">
        <v>4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t="s">
        <v>1189</v>
      </c>
    </row>
    <row r="45" spans="1:15" ht="12.75">
      <c r="A45" s="147" t="s">
        <v>1060</v>
      </c>
      <c r="B45" s="148">
        <v>1</v>
      </c>
      <c r="C45" s="148">
        <v>1</v>
      </c>
      <c r="D45" s="146">
        <v>0</v>
      </c>
      <c r="E45" s="146">
        <v>0</v>
      </c>
      <c r="F45" s="148">
        <v>1</v>
      </c>
      <c r="G45" s="148">
        <v>1</v>
      </c>
      <c r="H45" s="146">
        <v>0</v>
      </c>
      <c r="I45" s="146">
        <v>0</v>
      </c>
      <c r="J45" s="146">
        <v>-2</v>
      </c>
      <c r="K45" s="146">
        <v>-2</v>
      </c>
      <c r="L45" s="146">
        <v>-1</v>
      </c>
      <c r="M45" s="146">
        <v>-1</v>
      </c>
      <c r="N45" s="146">
        <v>0</v>
      </c>
      <c r="O45" t="s">
        <v>825</v>
      </c>
    </row>
    <row r="46" spans="1:15" ht="12.75">
      <c r="A46" s="147" t="s">
        <v>1061</v>
      </c>
      <c r="B46" s="146">
        <v>0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-2</v>
      </c>
      <c r="M46" s="146">
        <v>-2</v>
      </c>
      <c r="N46" s="146">
        <v>0</v>
      </c>
      <c r="O46" t="s">
        <v>825</v>
      </c>
    </row>
    <row r="47" spans="1:15" ht="12.75">
      <c r="A47" s="147" t="s">
        <v>1210</v>
      </c>
      <c r="B47" s="146">
        <v>0</v>
      </c>
      <c r="C47" s="146">
        <v>0</v>
      </c>
      <c r="D47" s="148">
        <v>3</v>
      </c>
      <c r="E47" s="148">
        <v>3</v>
      </c>
      <c r="F47" s="148">
        <v>2</v>
      </c>
      <c r="G47" s="148">
        <v>2</v>
      </c>
      <c r="H47" s="148">
        <v>2</v>
      </c>
      <c r="I47" s="148">
        <v>2</v>
      </c>
      <c r="J47" s="148">
        <v>5</v>
      </c>
      <c r="K47" s="148">
        <v>5</v>
      </c>
      <c r="L47" s="148">
        <v>1</v>
      </c>
      <c r="M47" s="146">
        <v>-2</v>
      </c>
      <c r="N47" s="146">
        <v>0</v>
      </c>
      <c r="O47" t="s">
        <v>825</v>
      </c>
    </row>
    <row r="48" spans="1:15" ht="12.75">
      <c r="A48" s="147" t="s">
        <v>811</v>
      </c>
      <c r="B48" s="148">
        <v>4</v>
      </c>
      <c r="C48" s="148">
        <v>4</v>
      </c>
      <c r="D48" s="148">
        <v>-2</v>
      </c>
      <c r="E48" s="148">
        <v>-2</v>
      </c>
      <c r="F48" s="148">
        <v>2</v>
      </c>
      <c r="G48" s="148">
        <v>2</v>
      </c>
      <c r="H48" s="146">
        <v>-1</v>
      </c>
      <c r="I48" s="146">
        <v>0</v>
      </c>
      <c r="J48" s="146">
        <v>-1</v>
      </c>
      <c r="K48" s="146">
        <v>-2</v>
      </c>
      <c r="L48" s="146">
        <v>-1</v>
      </c>
      <c r="M48" s="146">
        <v>-1</v>
      </c>
      <c r="N48" s="148">
        <v>-1</v>
      </c>
      <c r="O48" t="s">
        <v>598</v>
      </c>
    </row>
    <row r="49" spans="1:15" ht="12.75">
      <c r="A49" s="147" t="s">
        <v>819</v>
      </c>
      <c r="B49" s="146">
        <v>0</v>
      </c>
      <c r="C49" s="146">
        <v>0</v>
      </c>
      <c r="D49" s="146">
        <v>0</v>
      </c>
      <c r="E49" s="146">
        <v>0</v>
      </c>
      <c r="F49" s="146">
        <v>-1</v>
      </c>
      <c r="G49" s="146">
        <v>-1</v>
      </c>
      <c r="H49" s="146">
        <v>0</v>
      </c>
      <c r="I49" s="146">
        <v>0</v>
      </c>
      <c r="J49" s="148">
        <v>2</v>
      </c>
      <c r="K49" s="148">
        <v>2</v>
      </c>
      <c r="L49" s="146">
        <v>-1</v>
      </c>
      <c r="M49" s="146">
        <v>-1</v>
      </c>
      <c r="N49" s="146">
        <v>0</v>
      </c>
      <c r="O49" t="s">
        <v>598</v>
      </c>
    </row>
    <row r="50" spans="1:15" ht="12.75">
      <c r="A50" s="7" t="s">
        <v>1039</v>
      </c>
      <c r="B50" s="144">
        <v>-6</v>
      </c>
      <c r="C50" s="144">
        <v>0</v>
      </c>
      <c r="D50" s="144">
        <v>6</v>
      </c>
      <c r="E50" s="144">
        <v>6</v>
      </c>
      <c r="F50" s="144">
        <v>0</v>
      </c>
      <c r="G50" s="144">
        <v>-6</v>
      </c>
      <c r="H50" s="144">
        <v>0</v>
      </c>
      <c r="I50" s="144">
        <v>0</v>
      </c>
      <c r="J50" s="144">
        <v>2</v>
      </c>
      <c r="K50" s="144">
        <v>1</v>
      </c>
      <c r="L50" s="144">
        <v>0</v>
      </c>
      <c r="M50" s="144">
        <v>1</v>
      </c>
      <c r="N50" s="6">
        <v>3</v>
      </c>
      <c r="O50" t="s">
        <v>1229</v>
      </c>
    </row>
    <row r="51" spans="1:15" ht="12.75">
      <c r="A51" s="7" t="s">
        <v>1003</v>
      </c>
      <c r="B51" s="6">
        <v>-2</v>
      </c>
      <c r="C51" s="6">
        <v>0</v>
      </c>
      <c r="D51" s="6">
        <v>2</v>
      </c>
      <c r="E51" s="6">
        <v>2</v>
      </c>
      <c r="F51" s="6">
        <v>1</v>
      </c>
      <c r="G51" s="6">
        <v>-2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-1</v>
      </c>
      <c r="N51" s="6">
        <v>2</v>
      </c>
      <c r="O51" t="s">
        <v>1001</v>
      </c>
    </row>
    <row r="52" spans="1:15" ht="12.75">
      <c r="A52" s="147" t="s">
        <v>812</v>
      </c>
      <c r="B52" s="146">
        <v>0</v>
      </c>
      <c r="C52" s="146">
        <v>0</v>
      </c>
      <c r="D52" s="146">
        <v>0</v>
      </c>
      <c r="E52" s="146">
        <v>0</v>
      </c>
      <c r="F52" s="148">
        <v>1</v>
      </c>
      <c r="G52" s="148">
        <v>1</v>
      </c>
      <c r="H52" s="146">
        <v>0</v>
      </c>
      <c r="I52" s="146">
        <v>0</v>
      </c>
      <c r="J52" s="146">
        <v>-5</v>
      </c>
      <c r="K52" s="146">
        <v>-5</v>
      </c>
      <c r="L52" s="146">
        <v>-1</v>
      </c>
      <c r="M52" s="146">
        <v>-1</v>
      </c>
      <c r="N52" s="146">
        <v>0</v>
      </c>
      <c r="O52" t="s">
        <v>598</v>
      </c>
    </row>
    <row r="53" spans="1:15" ht="12.75">
      <c r="A53" s="147" t="s">
        <v>1211</v>
      </c>
      <c r="B53" s="146">
        <v>-1</v>
      </c>
      <c r="C53" s="146">
        <v>-1</v>
      </c>
      <c r="D53" s="146">
        <v>0</v>
      </c>
      <c r="E53" s="148">
        <v>1</v>
      </c>
      <c r="F53" s="146">
        <v>0</v>
      </c>
      <c r="G53" s="146">
        <v>-1</v>
      </c>
      <c r="H53" s="146">
        <v>0</v>
      </c>
      <c r="I53" s="146">
        <v>0</v>
      </c>
      <c r="J53" s="146">
        <v>0</v>
      </c>
      <c r="K53" s="146">
        <v>0</v>
      </c>
      <c r="L53" s="146">
        <v>-1</v>
      </c>
      <c r="M53" s="146">
        <v>-1</v>
      </c>
      <c r="N53" s="148">
        <v>1</v>
      </c>
      <c r="O53" t="s">
        <v>825</v>
      </c>
    </row>
    <row r="54" spans="1:15" ht="12.75">
      <c r="A54" s="147" t="s">
        <v>1212</v>
      </c>
      <c r="B54" s="146">
        <v>-3</v>
      </c>
      <c r="C54" s="146">
        <v>0</v>
      </c>
      <c r="D54" s="146">
        <v>0</v>
      </c>
      <c r="E54" s="146">
        <v>-3</v>
      </c>
      <c r="F54" s="146">
        <v>-1</v>
      </c>
      <c r="G54" s="146">
        <v>-3</v>
      </c>
      <c r="H54" s="148">
        <v>5</v>
      </c>
      <c r="I54" s="148">
        <v>5</v>
      </c>
      <c r="J54" s="146">
        <v>-2</v>
      </c>
      <c r="K54" s="146">
        <v>-2</v>
      </c>
      <c r="L54" s="146">
        <v>0</v>
      </c>
      <c r="M54" s="146">
        <v>0</v>
      </c>
      <c r="N54" s="148">
        <v>2</v>
      </c>
      <c r="O54" t="s">
        <v>825</v>
      </c>
    </row>
    <row r="55" spans="1:15" ht="12.75">
      <c r="A55" s="147" t="s">
        <v>813</v>
      </c>
      <c r="B55" s="146">
        <v>-6</v>
      </c>
      <c r="C55" s="146">
        <v>0</v>
      </c>
      <c r="D55" s="148">
        <v>1</v>
      </c>
      <c r="E55" s="148">
        <v>1</v>
      </c>
      <c r="F55" s="146">
        <v>0</v>
      </c>
      <c r="G55" s="146">
        <v>-6</v>
      </c>
      <c r="H55" s="148">
        <v>1</v>
      </c>
      <c r="I55" s="146">
        <v>0</v>
      </c>
      <c r="J55" s="148">
        <v>2</v>
      </c>
      <c r="K55" s="148">
        <v>2</v>
      </c>
      <c r="L55" s="146">
        <v>0</v>
      </c>
      <c r="M55" s="146">
        <v>0</v>
      </c>
      <c r="N55" s="148">
        <v>3</v>
      </c>
      <c r="O55" t="s">
        <v>598</v>
      </c>
    </row>
    <row r="56" spans="1:15" ht="12.75">
      <c r="A56" s="147" t="s">
        <v>1213</v>
      </c>
      <c r="B56" s="148">
        <v>4</v>
      </c>
      <c r="C56" s="148">
        <v>4</v>
      </c>
      <c r="D56" s="146">
        <v>0</v>
      </c>
      <c r="E56" s="148">
        <v>2</v>
      </c>
      <c r="F56" s="146">
        <v>0</v>
      </c>
      <c r="G56" s="146">
        <v>0</v>
      </c>
      <c r="H56" s="146">
        <v>0</v>
      </c>
      <c r="I56" s="146">
        <v>0</v>
      </c>
      <c r="J56" s="146">
        <v>-2</v>
      </c>
      <c r="K56" s="146">
        <v>-2</v>
      </c>
      <c r="L56" s="146">
        <v>0</v>
      </c>
      <c r="M56" s="146">
        <v>0</v>
      </c>
      <c r="N56" s="148">
        <v>-1</v>
      </c>
      <c r="O56" t="s">
        <v>825</v>
      </c>
    </row>
    <row r="57" spans="1:15" ht="12.75">
      <c r="A57" s="147" t="s">
        <v>995</v>
      </c>
      <c r="B57" s="148">
        <v>2</v>
      </c>
      <c r="C57" s="148">
        <v>2</v>
      </c>
      <c r="D57" s="146">
        <v>0</v>
      </c>
      <c r="E57" s="146">
        <v>0</v>
      </c>
      <c r="F57" s="148">
        <v>2</v>
      </c>
      <c r="G57" s="148">
        <v>2</v>
      </c>
      <c r="H57" s="146">
        <v>0</v>
      </c>
      <c r="I57" s="146">
        <v>0</v>
      </c>
      <c r="J57" s="146">
        <v>0</v>
      </c>
      <c r="K57" s="146">
        <v>0</v>
      </c>
      <c r="L57" s="146">
        <v>-1</v>
      </c>
      <c r="M57" s="146">
        <v>-1</v>
      </c>
      <c r="N57" s="148">
        <v>-1</v>
      </c>
      <c r="O57" t="s">
        <v>825</v>
      </c>
    </row>
    <row r="58" spans="1:15" ht="12.75">
      <c r="A58" s="7" t="s">
        <v>1040</v>
      </c>
      <c r="B58" s="144">
        <v>8</v>
      </c>
      <c r="C58" s="144">
        <v>4</v>
      </c>
      <c r="D58" s="144">
        <v>-1</v>
      </c>
      <c r="E58" s="144">
        <v>-1</v>
      </c>
      <c r="F58" s="144">
        <v>4</v>
      </c>
      <c r="G58" s="144">
        <v>10</v>
      </c>
      <c r="H58" s="144">
        <v>0</v>
      </c>
      <c r="I58" s="144">
        <v>1</v>
      </c>
      <c r="J58" s="144">
        <v>-1</v>
      </c>
      <c r="K58" s="144">
        <v>-1</v>
      </c>
      <c r="L58" s="144">
        <v>-1</v>
      </c>
      <c r="M58" s="144">
        <v>-2</v>
      </c>
      <c r="N58" s="144">
        <v>-2</v>
      </c>
      <c r="O58" t="s">
        <v>1229</v>
      </c>
    </row>
    <row r="59" spans="1:15" ht="12.75">
      <c r="A59" s="147" t="s">
        <v>814</v>
      </c>
      <c r="B59" s="146">
        <v>0</v>
      </c>
      <c r="C59" s="146">
        <v>0</v>
      </c>
      <c r="D59" s="146">
        <v>0</v>
      </c>
      <c r="E59" s="146">
        <v>0</v>
      </c>
      <c r="F59" s="146">
        <v>0</v>
      </c>
      <c r="G59" s="146">
        <v>-1</v>
      </c>
      <c r="H59" s="148">
        <v>1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t="s">
        <v>598</v>
      </c>
    </row>
    <row r="60" spans="1:15" ht="12.75">
      <c r="A60" s="7" t="s">
        <v>1222</v>
      </c>
      <c r="B60" s="6">
        <v>-1</v>
      </c>
      <c r="C60" s="6">
        <v>0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t="s">
        <v>1220</v>
      </c>
    </row>
    <row r="61" spans="1:15" ht="12.75">
      <c r="A61" s="7" t="s">
        <v>1000</v>
      </c>
      <c r="B61" s="6">
        <v>5</v>
      </c>
      <c r="C61" s="6">
        <v>0</v>
      </c>
      <c r="D61" s="6">
        <v>0</v>
      </c>
      <c r="E61" s="6">
        <v>0</v>
      </c>
      <c r="F61" s="6">
        <v>3</v>
      </c>
      <c r="G61" s="6">
        <v>3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-1</v>
      </c>
      <c r="N61" s="6">
        <v>-5</v>
      </c>
      <c r="O61" t="s">
        <v>1220</v>
      </c>
    </row>
    <row r="62" spans="1:15" ht="12.75">
      <c r="A62" s="147" t="s">
        <v>805</v>
      </c>
      <c r="B62" s="148">
        <v>4</v>
      </c>
      <c r="C62" s="148">
        <v>4</v>
      </c>
      <c r="D62" s="146">
        <v>0</v>
      </c>
      <c r="E62" s="146">
        <v>0</v>
      </c>
      <c r="F62" s="148">
        <v>4</v>
      </c>
      <c r="G62" s="148">
        <v>4</v>
      </c>
      <c r="H62" s="148">
        <v>4</v>
      </c>
      <c r="I62" s="148">
        <v>4</v>
      </c>
      <c r="J62" s="148">
        <v>2</v>
      </c>
      <c r="K62" s="148">
        <v>2</v>
      </c>
      <c r="L62" s="148">
        <v>1</v>
      </c>
      <c r="M62" s="146">
        <v>0</v>
      </c>
      <c r="N62" s="146">
        <v>0</v>
      </c>
      <c r="O62" t="s">
        <v>1189</v>
      </c>
    </row>
    <row r="63" spans="1:15" ht="12.75">
      <c r="A63" s="147" t="s">
        <v>996</v>
      </c>
      <c r="B63" s="146">
        <v>0</v>
      </c>
      <c r="C63" s="146">
        <v>0</v>
      </c>
      <c r="D63" s="146">
        <v>0</v>
      </c>
      <c r="E63" s="148">
        <v>3</v>
      </c>
      <c r="F63" s="146">
        <v>0</v>
      </c>
      <c r="G63" s="148">
        <v>2</v>
      </c>
      <c r="H63" s="146">
        <v>0</v>
      </c>
      <c r="I63" s="146">
        <v>0</v>
      </c>
      <c r="J63" s="146">
        <v>-2</v>
      </c>
      <c r="K63" s="146">
        <v>-2</v>
      </c>
      <c r="L63" s="146">
        <v>0</v>
      </c>
      <c r="M63" s="146">
        <v>0</v>
      </c>
      <c r="N63" s="146">
        <v>0</v>
      </c>
      <c r="O63" t="s">
        <v>825</v>
      </c>
    </row>
    <row r="64" spans="1:15" ht="12.75">
      <c r="A64" s="7" t="s">
        <v>1002</v>
      </c>
      <c r="B64" s="6">
        <v>0</v>
      </c>
      <c r="C64" s="6">
        <v>0</v>
      </c>
      <c r="D64" s="6">
        <v>1</v>
      </c>
      <c r="E64" s="6">
        <v>2</v>
      </c>
      <c r="F64" s="6">
        <v>0</v>
      </c>
      <c r="G64" s="6">
        <v>0</v>
      </c>
      <c r="H64" s="6">
        <v>1</v>
      </c>
      <c r="I64" s="6">
        <v>2</v>
      </c>
      <c r="J64" s="6">
        <v>0</v>
      </c>
      <c r="K64" s="6">
        <v>0</v>
      </c>
      <c r="L64" s="6">
        <v>0</v>
      </c>
      <c r="M64" s="6">
        <v>-2</v>
      </c>
      <c r="N64" s="6">
        <v>2</v>
      </c>
      <c r="O64" t="s">
        <v>1001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Q23" sqref="Q23"/>
    </sheetView>
  </sheetViews>
  <sheetFormatPr defaultColWidth="11.00390625" defaultRowHeight="12"/>
  <cols>
    <col min="2" max="2" width="9.125" style="0" customWidth="1"/>
  </cols>
  <sheetData>
    <row r="1" spans="1:2" ht="27.75">
      <c r="A1" s="150" t="s">
        <v>1011</v>
      </c>
      <c r="B1" s="151" t="s">
        <v>944</v>
      </c>
    </row>
    <row r="2" spans="1:2" ht="13.5">
      <c r="A2" s="152">
        <v>3</v>
      </c>
      <c r="B2" s="152">
        <v>-4</v>
      </c>
    </row>
    <row r="3" spans="1:2" ht="13.5">
      <c r="A3" s="152">
        <v>4</v>
      </c>
      <c r="B3" s="152">
        <v>-3</v>
      </c>
    </row>
    <row r="4" spans="1:2" ht="13.5">
      <c r="A4" s="152">
        <v>5</v>
      </c>
      <c r="B4" s="152">
        <v>-3</v>
      </c>
    </row>
    <row r="5" spans="1:2" ht="13.5">
      <c r="A5" s="152">
        <v>6</v>
      </c>
      <c r="B5" s="152">
        <v>-2</v>
      </c>
    </row>
    <row r="6" spans="1:2" ht="13.5">
      <c r="A6" s="152">
        <v>7</v>
      </c>
      <c r="B6" s="152">
        <v>-2</v>
      </c>
    </row>
    <row r="7" spans="1:2" ht="13.5">
      <c r="A7" s="152">
        <v>8</v>
      </c>
      <c r="B7" s="152">
        <v>-1</v>
      </c>
    </row>
    <row r="8" spans="1:2" ht="13.5">
      <c r="A8" s="152">
        <v>9</v>
      </c>
      <c r="B8" s="152">
        <v>-1</v>
      </c>
    </row>
    <row r="9" spans="1:2" ht="13.5">
      <c r="A9" s="152">
        <v>10</v>
      </c>
      <c r="B9" s="152">
        <v>0</v>
      </c>
    </row>
    <row r="10" spans="1:2" ht="13.5">
      <c r="A10" s="152">
        <v>11</v>
      </c>
      <c r="B10" s="152">
        <v>0</v>
      </c>
    </row>
    <row r="11" spans="1:2" ht="13.5">
      <c r="A11" s="152">
        <v>12</v>
      </c>
      <c r="B11" s="152">
        <v>1</v>
      </c>
    </row>
    <row r="12" spans="1:2" ht="13.5">
      <c r="A12" s="152">
        <v>13</v>
      </c>
      <c r="B12" s="152">
        <v>1</v>
      </c>
    </row>
    <row r="13" spans="1:2" ht="13.5">
      <c r="A13" s="152">
        <v>14</v>
      </c>
      <c r="B13" s="152">
        <v>2</v>
      </c>
    </row>
    <row r="14" spans="1:2" ht="13.5">
      <c r="A14" s="152">
        <v>15</v>
      </c>
      <c r="B14" s="152">
        <v>2</v>
      </c>
    </row>
    <row r="15" spans="1:2" ht="13.5">
      <c r="A15" s="152">
        <v>16</v>
      </c>
      <c r="B15" s="152">
        <v>3</v>
      </c>
    </row>
    <row r="16" spans="1:2" ht="13.5">
      <c r="A16" s="152">
        <v>17</v>
      </c>
      <c r="B16" s="152">
        <v>3</v>
      </c>
    </row>
    <row r="17" spans="1:2" ht="13.5">
      <c r="A17" s="152">
        <v>18</v>
      </c>
      <c r="B17" s="152">
        <v>4</v>
      </c>
    </row>
    <row r="18" spans="1:2" ht="13.5">
      <c r="A18" s="153">
        <v>19</v>
      </c>
      <c r="B18" s="153">
        <v>4</v>
      </c>
    </row>
    <row r="19" spans="1:2" ht="13.5">
      <c r="A19" s="153">
        <v>20</v>
      </c>
      <c r="B19" s="153">
        <v>5</v>
      </c>
    </row>
    <row r="20" spans="1:2" ht="13.5">
      <c r="A20" s="153">
        <v>21</v>
      </c>
      <c r="B20" s="153">
        <v>5</v>
      </c>
    </row>
    <row r="21" spans="1:2" ht="13.5">
      <c r="A21" s="153">
        <v>22</v>
      </c>
      <c r="B21" s="153">
        <v>6</v>
      </c>
    </row>
    <row r="22" spans="1:2" ht="13.5">
      <c r="A22" s="153">
        <v>23</v>
      </c>
      <c r="B22" s="153">
        <v>6</v>
      </c>
    </row>
    <row r="23" spans="1:2" ht="13.5">
      <c r="A23" s="153">
        <v>24</v>
      </c>
      <c r="B23" s="153">
        <v>7</v>
      </c>
    </row>
    <row r="24" spans="1:2" ht="13.5">
      <c r="A24" s="153">
        <v>25</v>
      </c>
      <c r="B24" s="153">
        <v>7</v>
      </c>
    </row>
    <row r="25" spans="1:2" ht="13.5">
      <c r="A25" s="153">
        <v>26</v>
      </c>
      <c r="B25" s="153">
        <v>8</v>
      </c>
    </row>
    <row r="26" spans="1:2" ht="13.5">
      <c r="A26" s="153">
        <v>27</v>
      </c>
      <c r="B26" s="153">
        <v>8</v>
      </c>
    </row>
    <row r="27" spans="1:2" ht="13.5">
      <c r="A27" s="153">
        <v>28</v>
      </c>
      <c r="B27" s="153">
        <v>9</v>
      </c>
    </row>
    <row r="28" spans="1:2" ht="13.5">
      <c r="A28" s="153">
        <v>29</v>
      </c>
      <c r="B28" s="153">
        <v>9</v>
      </c>
    </row>
    <row r="29" spans="1:2" ht="13.5">
      <c r="A29" s="153">
        <v>30</v>
      </c>
      <c r="B29" s="153">
        <v>10</v>
      </c>
    </row>
    <row r="30" spans="1:2" ht="13.5">
      <c r="A30" s="153">
        <v>31</v>
      </c>
      <c r="B30" s="153">
        <v>10</v>
      </c>
    </row>
    <row r="31" spans="1:2" ht="13.5">
      <c r="A31" s="153">
        <v>32</v>
      </c>
      <c r="B31" s="153">
        <v>11</v>
      </c>
    </row>
    <row r="32" spans="1:2" ht="13.5">
      <c r="A32" s="153">
        <v>33</v>
      </c>
      <c r="B32" s="153">
        <v>11</v>
      </c>
    </row>
    <row r="33" spans="1:2" ht="13.5">
      <c r="A33" s="153">
        <v>34</v>
      </c>
      <c r="B33" s="153">
        <v>12</v>
      </c>
    </row>
    <row r="34" spans="1:2" ht="13.5">
      <c r="A34" s="153">
        <v>35</v>
      </c>
      <c r="B34" s="153">
        <v>12</v>
      </c>
    </row>
    <row r="35" spans="1:2" ht="13.5">
      <c r="A35" s="153">
        <v>36</v>
      </c>
      <c r="B35" s="153">
        <v>13</v>
      </c>
    </row>
    <row r="36" spans="1:2" ht="13.5">
      <c r="A36" s="153">
        <v>37</v>
      </c>
      <c r="B36" s="153">
        <v>13</v>
      </c>
    </row>
    <row r="37" spans="1:2" ht="13.5">
      <c r="A37" s="153">
        <v>38</v>
      </c>
      <c r="B37" s="153">
        <v>14</v>
      </c>
    </row>
    <row r="38" spans="1:2" ht="13.5">
      <c r="A38" s="153">
        <v>39</v>
      </c>
      <c r="B38" s="153">
        <v>14</v>
      </c>
    </row>
    <row r="39" spans="1:2" ht="13.5">
      <c r="A39" s="153">
        <v>40</v>
      </c>
      <c r="B39" s="153">
        <v>15</v>
      </c>
    </row>
    <row r="40" spans="1:2" ht="13.5">
      <c r="A40" s="153">
        <v>41</v>
      </c>
      <c r="B40" s="153">
        <v>15</v>
      </c>
    </row>
    <row r="41" spans="1:2" ht="13.5">
      <c r="A41" s="153">
        <v>42</v>
      </c>
      <c r="B41" s="153">
        <v>16</v>
      </c>
    </row>
    <row r="42" spans="1:2" ht="13.5">
      <c r="A42" s="153">
        <v>43</v>
      </c>
      <c r="B42" s="153">
        <v>16</v>
      </c>
    </row>
    <row r="43" spans="1:2" ht="13.5">
      <c r="A43" s="153">
        <v>44</v>
      </c>
      <c r="B43" s="153">
        <v>17</v>
      </c>
    </row>
    <row r="44" spans="1:2" ht="13.5">
      <c r="A44" s="153">
        <v>45</v>
      </c>
      <c r="B44" s="153">
        <v>17</v>
      </c>
    </row>
    <row r="45" spans="1:2" ht="13.5">
      <c r="A45" s="153">
        <v>46</v>
      </c>
      <c r="B45" s="153">
        <v>18</v>
      </c>
    </row>
    <row r="46" spans="1:2" ht="13.5">
      <c r="A46" s="153">
        <v>47</v>
      </c>
      <c r="B46" s="153">
        <v>18</v>
      </c>
    </row>
    <row r="47" spans="1:2" ht="13.5">
      <c r="A47" s="153">
        <v>48</v>
      </c>
      <c r="B47" s="153">
        <v>19</v>
      </c>
    </row>
    <row r="48" spans="1:2" ht="13.5">
      <c r="A48" s="153">
        <v>49</v>
      </c>
      <c r="B48" s="153">
        <v>19</v>
      </c>
    </row>
    <row r="49" spans="1:2" ht="13.5">
      <c r="A49" s="153">
        <v>50</v>
      </c>
      <c r="B49" s="153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9"/>
  <sheetViews>
    <sheetView workbookViewId="0" topLeftCell="A1">
      <selection activeCell="A2" sqref="A2"/>
    </sheetView>
  </sheetViews>
  <sheetFormatPr defaultColWidth="11.00390625" defaultRowHeight="12"/>
  <cols>
    <col min="1" max="1" width="35.375" style="0" customWidth="1"/>
    <col min="2" max="2" width="19.50390625" style="0" customWidth="1"/>
  </cols>
  <sheetData>
    <row r="1" spans="1:2" ht="13.5">
      <c r="A1" s="159" t="s">
        <v>1015</v>
      </c>
      <c r="B1" s="160" t="s">
        <v>1016</v>
      </c>
    </row>
    <row r="2" spans="1:2" ht="13.5">
      <c r="A2" s="161" t="s">
        <v>791</v>
      </c>
      <c r="B2" s="162" t="s">
        <v>907</v>
      </c>
    </row>
    <row r="3" spans="1:2" ht="13.5">
      <c r="A3" s="161" t="s">
        <v>585</v>
      </c>
      <c r="B3" s="162" t="s">
        <v>953</v>
      </c>
    </row>
    <row r="4" spans="1:2" ht="13.5">
      <c r="A4" s="161" t="s">
        <v>165</v>
      </c>
      <c r="B4" s="162" t="s">
        <v>953</v>
      </c>
    </row>
    <row r="5" spans="1:2" ht="13.5">
      <c r="A5" s="161" t="s">
        <v>166</v>
      </c>
      <c r="B5" s="162" t="s">
        <v>907</v>
      </c>
    </row>
    <row r="6" spans="1:2" ht="13.5">
      <c r="A6" s="161" t="s">
        <v>3</v>
      </c>
      <c r="B6" s="162" t="s">
        <v>907</v>
      </c>
    </row>
    <row r="7" spans="1:2" ht="13.5">
      <c r="A7" s="161" t="s">
        <v>4</v>
      </c>
      <c r="B7" s="162" t="s">
        <v>907</v>
      </c>
    </row>
    <row r="8" spans="1:2" ht="13.5">
      <c r="A8" s="161" t="s">
        <v>213</v>
      </c>
      <c r="B8" s="162" t="s">
        <v>907</v>
      </c>
    </row>
    <row r="9" spans="1:2" ht="13.5">
      <c r="A9" s="161" t="s">
        <v>214</v>
      </c>
      <c r="B9" s="162" t="s">
        <v>907</v>
      </c>
    </row>
    <row r="10" spans="1:2" ht="13.5">
      <c r="A10" s="161" t="s">
        <v>215</v>
      </c>
      <c r="B10" s="162" t="s">
        <v>907</v>
      </c>
    </row>
    <row r="11" spans="1:2" ht="13.5">
      <c r="A11" s="161" t="s">
        <v>7</v>
      </c>
      <c r="B11" s="162" t="s">
        <v>408</v>
      </c>
    </row>
    <row r="12" spans="1:2" ht="13.5">
      <c r="A12" s="161" t="s">
        <v>8</v>
      </c>
      <c r="B12" s="162" t="s">
        <v>907</v>
      </c>
    </row>
    <row r="13" spans="1:2" ht="13.5">
      <c r="A13" s="161" t="s">
        <v>9</v>
      </c>
      <c r="B13" s="162" t="s">
        <v>907</v>
      </c>
    </row>
    <row r="14" spans="1:2" ht="13.5">
      <c r="A14" s="161" t="s">
        <v>427</v>
      </c>
      <c r="B14" s="162" t="s">
        <v>953</v>
      </c>
    </row>
    <row r="15" spans="1:2" ht="13.5">
      <c r="A15" s="161" t="s">
        <v>10</v>
      </c>
      <c r="B15" s="162" t="s">
        <v>907</v>
      </c>
    </row>
    <row r="16" spans="1:2" ht="13.5">
      <c r="A16" s="161" t="s">
        <v>11</v>
      </c>
      <c r="B16" s="162" t="s">
        <v>953</v>
      </c>
    </row>
    <row r="17" spans="1:2" ht="13.5">
      <c r="A17" s="161" t="s">
        <v>12</v>
      </c>
      <c r="B17" s="162" t="s">
        <v>953</v>
      </c>
    </row>
    <row r="18" spans="1:2" ht="13.5">
      <c r="A18" s="161" t="s">
        <v>506</v>
      </c>
      <c r="B18" s="162" t="s">
        <v>953</v>
      </c>
    </row>
    <row r="19" spans="1:2" ht="13.5">
      <c r="A19" s="161" t="s">
        <v>507</v>
      </c>
      <c r="B19" s="162" t="s">
        <v>411</v>
      </c>
    </row>
    <row r="20" spans="1:2" ht="13.5">
      <c r="A20" s="161" t="s">
        <v>176</v>
      </c>
      <c r="B20" s="162" t="s">
        <v>953</v>
      </c>
    </row>
    <row r="21" spans="1:2" ht="13.5">
      <c r="A21" s="161" t="s">
        <v>841</v>
      </c>
      <c r="B21" s="162" t="s">
        <v>797</v>
      </c>
    </row>
    <row r="22" spans="1:2" ht="13.5">
      <c r="A22" s="161" t="s">
        <v>179</v>
      </c>
      <c r="B22" s="162" t="s">
        <v>797</v>
      </c>
    </row>
    <row r="23" spans="1:2" ht="13.5">
      <c r="A23" s="161" t="s">
        <v>180</v>
      </c>
      <c r="B23" s="162" t="s">
        <v>953</v>
      </c>
    </row>
    <row r="24" spans="1:2" ht="13.5">
      <c r="A24" s="161" t="s">
        <v>230</v>
      </c>
      <c r="B24" s="162" t="s">
        <v>912</v>
      </c>
    </row>
    <row r="25" spans="1:2" ht="13.5">
      <c r="A25" s="161" t="s">
        <v>231</v>
      </c>
      <c r="B25" s="162" t="s">
        <v>797</v>
      </c>
    </row>
    <row r="26" spans="1:2" ht="13.5">
      <c r="A26" s="161" t="s">
        <v>232</v>
      </c>
      <c r="B26" s="162" t="s">
        <v>797</v>
      </c>
    </row>
    <row r="27" spans="1:2" ht="13.5">
      <c r="A27" s="161" t="s">
        <v>233</v>
      </c>
      <c r="B27" s="162" t="s">
        <v>797</v>
      </c>
    </row>
    <row r="28" spans="1:2" ht="13.5">
      <c r="A28" s="161" t="s">
        <v>234</v>
      </c>
      <c r="B28" s="162" t="s">
        <v>411</v>
      </c>
    </row>
    <row r="29" spans="1:2" ht="13.5">
      <c r="A29" s="161" t="s">
        <v>235</v>
      </c>
      <c r="B29" s="162" t="s">
        <v>797</v>
      </c>
    </row>
    <row r="30" spans="1:2" ht="13.5">
      <c r="A30" s="161" t="s">
        <v>236</v>
      </c>
      <c r="B30" s="162" t="s">
        <v>912</v>
      </c>
    </row>
    <row r="31" spans="1:2" ht="13.5">
      <c r="A31" s="161" t="s">
        <v>237</v>
      </c>
      <c r="B31" s="162" t="s">
        <v>953</v>
      </c>
    </row>
    <row r="32" spans="1:2" ht="13.5">
      <c r="A32" s="161" t="s">
        <v>189</v>
      </c>
      <c r="B32" s="162" t="s">
        <v>907</v>
      </c>
    </row>
    <row r="33" spans="1:2" ht="13.5">
      <c r="A33" s="161" t="s">
        <v>190</v>
      </c>
      <c r="B33" s="162" t="s">
        <v>953</v>
      </c>
    </row>
    <row r="34" spans="1:2" ht="13.5">
      <c r="A34" s="161" t="s">
        <v>191</v>
      </c>
      <c r="B34" s="162" t="s">
        <v>411</v>
      </c>
    </row>
    <row r="35" spans="1:2" ht="13.5">
      <c r="A35" s="161" t="s">
        <v>192</v>
      </c>
      <c r="B35" s="162" t="s">
        <v>953</v>
      </c>
    </row>
    <row r="36" spans="1:2" ht="13.5">
      <c r="A36" s="161" t="s">
        <v>193</v>
      </c>
      <c r="B36" s="162" t="s">
        <v>410</v>
      </c>
    </row>
    <row r="37" spans="1:2" ht="13.5">
      <c r="A37" s="161" t="s">
        <v>194</v>
      </c>
      <c r="B37" s="162" t="s">
        <v>410</v>
      </c>
    </row>
    <row r="38" spans="1:2" ht="13.5">
      <c r="A38" s="161" t="s">
        <v>195</v>
      </c>
      <c r="B38" s="162" t="s">
        <v>953</v>
      </c>
    </row>
    <row r="39" spans="1:2" ht="13.5">
      <c r="A39" s="161" t="s">
        <v>397</v>
      </c>
      <c r="B39" s="162" t="s">
        <v>410</v>
      </c>
    </row>
    <row r="40" spans="1:2" ht="13.5">
      <c r="A40" s="161" t="s">
        <v>399</v>
      </c>
      <c r="B40" s="162" t="s">
        <v>410</v>
      </c>
    </row>
    <row r="41" spans="1:2" ht="13.5">
      <c r="A41" s="161" t="s">
        <v>1077</v>
      </c>
      <c r="B41" s="162" t="s">
        <v>410</v>
      </c>
    </row>
    <row r="42" spans="1:2" ht="13.5">
      <c r="A42" s="161" t="s">
        <v>1078</v>
      </c>
      <c r="B42" s="162" t="s">
        <v>410</v>
      </c>
    </row>
    <row r="43" spans="1:2" ht="13.5">
      <c r="A43" s="161" t="s">
        <v>1137</v>
      </c>
      <c r="B43" s="162" t="s">
        <v>410</v>
      </c>
    </row>
    <row r="44" spans="1:2" ht="13.5">
      <c r="A44" s="161" t="s">
        <v>1138</v>
      </c>
      <c r="B44" s="162" t="s">
        <v>912</v>
      </c>
    </row>
    <row r="45" spans="1:2" ht="13.5">
      <c r="A45" s="161" t="s">
        <v>908</v>
      </c>
      <c r="B45" s="162" t="s">
        <v>953</v>
      </c>
    </row>
    <row r="46" spans="1:2" ht="13.5">
      <c r="A46" s="161" t="s">
        <v>909</v>
      </c>
      <c r="B46" s="162" t="s">
        <v>953</v>
      </c>
    </row>
    <row r="47" spans="1:2" ht="13.5">
      <c r="A47" s="161" t="s">
        <v>1143</v>
      </c>
      <c r="B47" s="162" t="s">
        <v>953</v>
      </c>
    </row>
    <row r="48" spans="1:2" ht="13.5">
      <c r="A48" s="161" t="s">
        <v>1144</v>
      </c>
      <c r="B48" s="162" t="s">
        <v>411</v>
      </c>
    </row>
    <row r="49" spans="1:2" ht="13.5">
      <c r="A49" s="161" t="s">
        <v>1145</v>
      </c>
      <c r="B49" s="162" t="s">
        <v>408</v>
      </c>
    </row>
    <row r="50" spans="1:2" ht="13.5">
      <c r="A50" s="161" t="s">
        <v>1082</v>
      </c>
      <c r="B50" s="162" t="s">
        <v>411</v>
      </c>
    </row>
    <row r="51" spans="1:2" ht="13.5">
      <c r="A51" s="161" t="s">
        <v>1083</v>
      </c>
      <c r="B51" s="162" t="s">
        <v>408</v>
      </c>
    </row>
    <row r="52" spans="1:2" ht="13.5">
      <c r="A52" s="161" t="s">
        <v>1084</v>
      </c>
      <c r="B52" s="162" t="s">
        <v>408</v>
      </c>
    </row>
    <row r="53" spans="1:2" ht="13.5">
      <c r="A53" s="161" t="s">
        <v>1146</v>
      </c>
      <c r="B53" s="162" t="s">
        <v>411</v>
      </c>
    </row>
    <row r="54" spans="1:2" ht="13.5">
      <c r="A54" s="161" t="s">
        <v>1147</v>
      </c>
      <c r="B54" s="162" t="s">
        <v>408</v>
      </c>
    </row>
    <row r="55" spans="1:2" ht="13.5">
      <c r="A55" s="161" t="s">
        <v>1148</v>
      </c>
      <c r="B55" s="162" t="s">
        <v>183</v>
      </c>
    </row>
    <row r="56" spans="1:2" ht="13.5">
      <c r="A56" s="161" t="s">
        <v>695</v>
      </c>
      <c r="B56" s="162" t="s">
        <v>410</v>
      </c>
    </row>
    <row r="57" spans="1:2" ht="13.5">
      <c r="A57" s="161" t="s">
        <v>696</v>
      </c>
      <c r="B57" s="162" t="s">
        <v>912</v>
      </c>
    </row>
    <row r="58" spans="1:2" ht="13.5">
      <c r="A58" s="161" t="s">
        <v>281</v>
      </c>
      <c r="B58" s="162" t="s">
        <v>797</v>
      </c>
    </row>
    <row r="59" spans="1:2" ht="13.5">
      <c r="A59" s="161" t="s">
        <v>915</v>
      </c>
      <c r="B59" s="162" t="s">
        <v>797</v>
      </c>
    </row>
    <row r="60" spans="1:2" ht="13.5">
      <c r="A60" s="161" t="s">
        <v>916</v>
      </c>
      <c r="B60" s="162" t="s">
        <v>411</v>
      </c>
    </row>
    <row r="61" spans="1:2" ht="13.5">
      <c r="A61" s="161" t="s">
        <v>917</v>
      </c>
      <c r="B61" s="162" t="s">
        <v>411</v>
      </c>
    </row>
    <row r="62" spans="1:2" ht="13.5">
      <c r="A62" s="161" t="s">
        <v>918</v>
      </c>
      <c r="B62" s="162" t="s">
        <v>411</v>
      </c>
    </row>
    <row r="63" spans="1:2" ht="13.5">
      <c r="A63" s="161" t="s">
        <v>919</v>
      </c>
      <c r="B63" s="162" t="s">
        <v>953</v>
      </c>
    </row>
    <row r="64" spans="1:2" ht="13.5">
      <c r="A64" s="161" t="s">
        <v>920</v>
      </c>
      <c r="B64" s="162" t="s">
        <v>913</v>
      </c>
    </row>
    <row r="65" spans="1:2" ht="13.5">
      <c r="A65" s="161" t="s">
        <v>921</v>
      </c>
      <c r="B65" s="162" t="s">
        <v>953</v>
      </c>
    </row>
    <row r="66" spans="1:2" ht="13.5">
      <c r="A66" s="161" t="s">
        <v>922</v>
      </c>
      <c r="B66" s="162" t="s">
        <v>953</v>
      </c>
    </row>
    <row r="67" spans="1:2" ht="13.5">
      <c r="A67" s="161" t="s">
        <v>927</v>
      </c>
      <c r="B67" s="162" t="s">
        <v>953</v>
      </c>
    </row>
    <row r="68" spans="1:2" ht="13.5">
      <c r="A68" s="161" t="s">
        <v>928</v>
      </c>
      <c r="B68" s="162" t="s">
        <v>953</v>
      </c>
    </row>
    <row r="69" spans="1:2" ht="13.5">
      <c r="A69" s="161" t="s">
        <v>929</v>
      </c>
      <c r="B69" s="162" t="s">
        <v>953</v>
      </c>
    </row>
    <row r="70" spans="1:2" ht="13.5">
      <c r="A70" s="161" t="s">
        <v>1163</v>
      </c>
      <c r="B70" s="162" t="s">
        <v>953</v>
      </c>
    </row>
    <row r="71" spans="1:2" ht="13.5">
      <c r="A71" s="161" t="s">
        <v>1164</v>
      </c>
      <c r="B71" s="162" t="s">
        <v>953</v>
      </c>
    </row>
    <row r="72" spans="1:2" ht="13.5">
      <c r="A72" s="161" t="s">
        <v>1113</v>
      </c>
      <c r="B72" s="162" t="s">
        <v>953</v>
      </c>
    </row>
    <row r="73" spans="1:2" ht="13.5">
      <c r="A73" s="161" t="s">
        <v>1114</v>
      </c>
      <c r="B73" s="162" t="s">
        <v>953</v>
      </c>
    </row>
    <row r="74" spans="1:2" ht="13.5">
      <c r="A74" s="161" t="s">
        <v>1115</v>
      </c>
      <c r="B74" s="162" t="s">
        <v>953</v>
      </c>
    </row>
    <row r="75" spans="1:2" ht="13.5">
      <c r="A75" s="161" t="s">
        <v>1110</v>
      </c>
      <c r="B75" s="162" t="s">
        <v>410</v>
      </c>
    </row>
    <row r="76" spans="1:2" ht="13.5">
      <c r="A76" s="161" t="s">
        <v>1111</v>
      </c>
      <c r="B76" s="162" t="s">
        <v>953</v>
      </c>
    </row>
    <row r="77" spans="1:2" ht="13.5">
      <c r="A77" s="161" t="s">
        <v>1112</v>
      </c>
      <c r="B77" s="162" t="s">
        <v>411</v>
      </c>
    </row>
    <row r="78" spans="1:2" ht="13.5">
      <c r="A78" s="161" t="s">
        <v>1170</v>
      </c>
      <c r="B78" s="162" t="s">
        <v>411</v>
      </c>
    </row>
    <row r="79" spans="1:2" ht="13.5">
      <c r="A79" s="161" t="s">
        <v>1118</v>
      </c>
      <c r="B79" s="162" t="s">
        <v>411</v>
      </c>
    </row>
    <row r="80" spans="1:2" ht="13.5">
      <c r="A80" s="161" t="s">
        <v>1116</v>
      </c>
      <c r="B80" s="162" t="s">
        <v>410</v>
      </c>
    </row>
    <row r="81" spans="1:2" ht="13.5">
      <c r="A81" s="161" t="s">
        <v>895</v>
      </c>
      <c r="B81" s="162" t="s">
        <v>408</v>
      </c>
    </row>
    <row r="82" spans="1:2" ht="13.5">
      <c r="A82" s="161" t="s">
        <v>896</v>
      </c>
      <c r="B82" s="162" t="s">
        <v>953</v>
      </c>
    </row>
    <row r="83" spans="1:2" ht="13.5">
      <c r="A83" s="161" t="s">
        <v>1123</v>
      </c>
      <c r="B83" s="162" t="s">
        <v>797</v>
      </c>
    </row>
    <row r="84" spans="1:2" ht="13.5">
      <c r="A84" s="161" t="s">
        <v>1177</v>
      </c>
      <c r="B84" s="162" t="s">
        <v>411</v>
      </c>
    </row>
    <row r="85" spans="1:2" ht="13.5">
      <c r="A85" s="161" t="s">
        <v>1178</v>
      </c>
      <c r="B85" s="162" t="s">
        <v>953</v>
      </c>
    </row>
    <row r="86" spans="1:2" ht="13.5">
      <c r="A86" s="161" t="s">
        <v>1125</v>
      </c>
      <c r="B86" s="162" t="s">
        <v>953</v>
      </c>
    </row>
    <row r="87" spans="1:2" ht="13.5">
      <c r="A87" s="161" t="s">
        <v>1126</v>
      </c>
      <c r="B87" s="162" t="s">
        <v>912</v>
      </c>
    </row>
    <row r="88" spans="1:2" ht="13.5">
      <c r="A88" s="161" t="s">
        <v>1127</v>
      </c>
      <c r="B88" s="162" t="s">
        <v>797</v>
      </c>
    </row>
    <row r="89" spans="1:2" ht="13.5">
      <c r="A89" s="161" t="s">
        <v>898</v>
      </c>
      <c r="B89" s="162" t="s">
        <v>410</v>
      </c>
    </row>
    <row r="90" spans="1:2" ht="13.5">
      <c r="A90" s="161" t="s">
        <v>899</v>
      </c>
      <c r="B90" s="162" t="s">
        <v>953</v>
      </c>
    </row>
    <row r="91" spans="1:2" ht="13.5">
      <c r="A91" s="161" t="s">
        <v>900</v>
      </c>
      <c r="B91" s="162" t="s">
        <v>411</v>
      </c>
    </row>
    <row r="92" spans="1:2" ht="13.5">
      <c r="A92" s="161" t="s">
        <v>901</v>
      </c>
      <c r="B92" s="162" t="s">
        <v>907</v>
      </c>
    </row>
    <row r="93" spans="1:2" ht="13.5">
      <c r="A93" s="161" t="s">
        <v>56</v>
      </c>
      <c r="B93" s="162" t="s">
        <v>953</v>
      </c>
    </row>
    <row r="94" spans="1:2" ht="13.5">
      <c r="A94" s="161" t="s">
        <v>57</v>
      </c>
      <c r="B94" s="162" t="s">
        <v>953</v>
      </c>
    </row>
    <row r="95" spans="1:2" ht="13.5">
      <c r="A95" s="161" t="s">
        <v>58</v>
      </c>
      <c r="B95" s="162" t="s">
        <v>411</v>
      </c>
    </row>
    <row r="96" spans="1:2" ht="13.5">
      <c r="A96" s="161" t="s">
        <v>321</v>
      </c>
      <c r="B96" s="162" t="s">
        <v>953</v>
      </c>
    </row>
    <row r="97" spans="1:2" ht="13.5">
      <c r="A97" s="161" t="s">
        <v>534</v>
      </c>
      <c r="B97" s="162" t="s">
        <v>410</v>
      </c>
    </row>
    <row r="98" spans="1:2" ht="13.5">
      <c r="A98" s="161" t="s">
        <v>326</v>
      </c>
      <c r="B98" s="162" t="s">
        <v>410</v>
      </c>
    </row>
    <row r="99" spans="1:2" ht="13.5">
      <c r="A99" s="161" t="s">
        <v>323</v>
      </c>
      <c r="B99" s="162" t="s">
        <v>953</v>
      </c>
    </row>
    <row r="100" spans="1:2" ht="13.5">
      <c r="A100" s="161" t="s">
        <v>324</v>
      </c>
      <c r="B100" s="162" t="s">
        <v>797</v>
      </c>
    </row>
    <row r="101" spans="1:2" ht="13.5">
      <c r="A101" s="161" t="s">
        <v>325</v>
      </c>
      <c r="B101" s="162" t="s">
        <v>953</v>
      </c>
    </row>
    <row r="102" spans="1:2" ht="13.5">
      <c r="A102" s="161" t="s">
        <v>114</v>
      </c>
      <c r="B102" s="162" t="s">
        <v>953</v>
      </c>
    </row>
    <row r="103" spans="1:2" ht="13.5">
      <c r="A103" s="161" t="s">
        <v>115</v>
      </c>
      <c r="B103" s="162" t="s">
        <v>912</v>
      </c>
    </row>
    <row r="104" spans="1:2" ht="13.5">
      <c r="A104" s="161" t="s">
        <v>116</v>
      </c>
      <c r="B104" s="162" t="s">
        <v>912</v>
      </c>
    </row>
    <row r="105" spans="1:2" ht="13.5">
      <c r="A105" s="161" t="s">
        <v>117</v>
      </c>
      <c r="B105" s="162" t="s">
        <v>912</v>
      </c>
    </row>
    <row r="106" spans="1:2" ht="13.5">
      <c r="A106" s="161" t="s">
        <v>286</v>
      </c>
      <c r="B106" s="162" t="s">
        <v>912</v>
      </c>
    </row>
    <row r="107" spans="1:2" ht="13.5">
      <c r="A107" s="161" t="s">
        <v>69</v>
      </c>
      <c r="B107" s="162" t="s">
        <v>912</v>
      </c>
    </row>
    <row r="108" spans="1:2" ht="13.5">
      <c r="A108" s="161" t="s">
        <v>287</v>
      </c>
      <c r="B108" s="162" t="s">
        <v>912</v>
      </c>
    </row>
    <row r="109" spans="1:2" ht="13.5">
      <c r="A109" s="161" t="s">
        <v>70</v>
      </c>
      <c r="B109" s="162" t="s">
        <v>953</v>
      </c>
    </row>
    <row r="110" spans="1:2" ht="13.5">
      <c r="A110" s="161" t="s">
        <v>342</v>
      </c>
      <c r="B110" s="162" t="s">
        <v>953</v>
      </c>
    </row>
    <row r="111" spans="1:2" ht="13.5">
      <c r="A111" s="161" t="s">
        <v>343</v>
      </c>
      <c r="B111" s="257" t="s">
        <v>410</v>
      </c>
    </row>
    <row r="112" spans="1:2" ht="13.5">
      <c r="A112" s="161" t="s">
        <v>344</v>
      </c>
      <c r="B112" s="162" t="s">
        <v>912</v>
      </c>
    </row>
    <row r="113" spans="1:2" ht="13.5">
      <c r="A113" s="161" t="s">
        <v>81</v>
      </c>
      <c r="B113" s="162" t="s">
        <v>912</v>
      </c>
    </row>
    <row r="114" spans="1:2" ht="13.5">
      <c r="A114" s="161" t="s">
        <v>345</v>
      </c>
      <c r="B114" s="162" t="s">
        <v>797</v>
      </c>
    </row>
    <row r="115" spans="1:2" ht="13.5">
      <c r="A115" s="161" t="s">
        <v>346</v>
      </c>
      <c r="B115" s="257" t="s">
        <v>912</v>
      </c>
    </row>
    <row r="116" spans="1:2" ht="13.5">
      <c r="A116" s="161" t="s">
        <v>347</v>
      </c>
      <c r="B116" s="257" t="s">
        <v>953</v>
      </c>
    </row>
    <row r="117" spans="1:2" ht="13.5">
      <c r="A117" s="161" t="s">
        <v>348</v>
      </c>
      <c r="B117" s="162" t="s">
        <v>912</v>
      </c>
    </row>
    <row r="118" spans="1:2" ht="13.5">
      <c r="A118" s="161" t="s">
        <v>82</v>
      </c>
      <c r="B118" s="162" t="s">
        <v>797</v>
      </c>
    </row>
    <row r="119" spans="1:2" ht="13.5">
      <c r="A119" s="161" t="s">
        <v>83</v>
      </c>
      <c r="B119" s="257" t="s">
        <v>410</v>
      </c>
    </row>
    <row r="120" spans="1:2" ht="13.5">
      <c r="A120" s="161" t="s">
        <v>84</v>
      </c>
      <c r="B120" s="162" t="s">
        <v>953</v>
      </c>
    </row>
    <row r="121" spans="1:2" ht="13.5">
      <c r="A121" s="161" t="s">
        <v>85</v>
      </c>
      <c r="B121" s="162" t="s">
        <v>953</v>
      </c>
    </row>
    <row r="122" spans="1:2" ht="13.5">
      <c r="A122" s="161" t="s">
        <v>86</v>
      </c>
      <c r="B122" s="257" t="s">
        <v>912</v>
      </c>
    </row>
    <row r="123" spans="1:2" ht="13.5">
      <c r="A123" s="161" t="s">
        <v>89</v>
      </c>
      <c r="B123" s="257" t="s">
        <v>912</v>
      </c>
    </row>
    <row r="124" spans="1:2" ht="13.5">
      <c r="A124" s="161" t="s">
        <v>90</v>
      </c>
      <c r="B124" s="162" t="s">
        <v>411</v>
      </c>
    </row>
    <row r="125" spans="1:2" ht="13.5">
      <c r="A125" s="161" t="s">
        <v>91</v>
      </c>
      <c r="B125" s="162" t="s">
        <v>411</v>
      </c>
    </row>
    <row r="126" spans="1:2" ht="13.5">
      <c r="A126" s="161" t="s">
        <v>298</v>
      </c>
      <c r="B126" s="162" t="s">
        <v>410</v>
      </c>
    </row>
    <row r="127" spans="1:2" ht="13.5">
      <c r="A127" s="161" t="s">
        <v>87</v>
      </c>
      <c r="B127" s="162" t="s">
        <v>953</v>
      </c>
    </row>
    <row r="128" spans="1:2" ht="13.5">
      <c r="A128" s="161" t="s">
        <v>302</v>
      </c>
      <c r="B128" s="162" t="s">
        <v>411</v>
      </c>
    </row>
    <row r="129" spans="1:2" ht="13.5">
      <c r="A129" s="161" t="s">
        <v>303</v>
      </c>
      <c r="B129" s="162" t="s">
        <v>411</v>
      </c>
    </row>
    <row r="130" spans="1:2" ht="13.5">
      <c r="A130" s="161" t="s">
        <v>513</v>
      </c>
      <c r="B130" s="162" t="s">
        <v>953</v>
      </c>
    </row>
    <row r="131" spans="1:2" ht="13.5">
      <c r="A131" s="161" t="s">
        <v>514</v>
      </c>
      <c r="B131" s="162" t="s">
        <v>410</v>
      </c>
    </row>
    <row r="132" spans="1:2" ht="13.5">
      <c r="A132" s="161" t="s">
        <v>515</v>
      </c>
      <c r="B132" s="162" t="s">
        <v>410</v>
      </c>
    </row>
    <row r="133" spans="1:2" ht="13.5">
      <c r="A133" s="161" t="s">
        <v>516</v>
      </c>
      <c r="B133" s="162" t="s">
        <v>912</v>
      </c>
    </row>
    <row r="134" spans="1:2" ht="13.5">
      <c r="A134" s="161" t="s">
        <v>517</v>
      </c>
      <c r="B134" s="162" t="s">
        <v>912</v>
      </c>
    </row>
    <row r="135" spans="1:2" ht="13.5">
      <c r="A135" s="161" t="s">
        <v>518</v>
      </c>
      <c r="B135" s="162" t="s">
        <v>953</v>
      </c>
    </row>
    <row r="136" spans="1:2" ht="13.5">
      <c r="A136" s="161" t="s">
        <v>519</v>
      </c>
      <c r="B136" s="162" t="s">
        <v>797</v>
      </c>
    </row>
    <row r="137" spans="1:2" ht="13.5">
      <c r="A137" s="161" t="s">
        <v>307</v>
      </c>
      <c r="B137" s="162" t="s">
        <v>953</v>
      </c>
    </row>
    <row r="138" spans="1:2" ht="13.5">
      <c r="A138" s="161" t="s">
        <v>308</v>
      </c>
      <c r="B138" s="162" t="s">
        <v>411</v>
      </c>
    </row>
    <row r="139" spans="1:2" ht="13.5">
      <c r="A139" s="161" t="s">
        <v>309</v>
      </c>
      <c r="B139" s="162" t="s">
        <v>913</v>
      </c>
    </row>
    <row r="140" spans="1:2" ht="13.5">
      <c r="A140" s="161" t="s">
        <v>736</v>
      </c>
      <c r="B140" s="162" t="s">
        <v>913</v>
      </c>
    </row>
    <row r="141" spans="1:2" ht="13.5">
      <c r="A141" s="161" t="s">
        <v>1027</v>
      </c>
      <c r="B141" s="162" t="s">
        <v>913</v>
      </c>
    </row>
    <row r="142" spans="1:2" ht="13.5">
      <c r="A142" s="161" t="s">
        <v>1028</v>
      </c>
      <c r="B142" s="162" t="s">
        <v>913</v>
      </c>
    </row>
    <row r="143" spans="1:2" ht="13.5">
      <c r="A143" s="161" t="s">
        <v>1030</v>
      </c>
      <c r="B143" s="162" t="s">
        <v>913</v>
      </c>
    </row>
    <row r="144" spans="1:2" ht="13.5">
      <c r="A144" s="161" t="s">
        <v>1031</v>
      </c>
      <c r="B144" s="162" t="s">
        <v>912</v>
      </c>
    </row>
    <row r="145" spans="1:2" ht="13.5">
      <c r="A145" s="161" t="s">
        <v>1187</v>
      </c>
      <c r="B145" s="162" t="s">
        <v>953</v>
      </c>
    </row>
    <row r="146" spans="1:2" ht="13.5">
      <c r="A146" s="161" t="s">
        <v>1188</v>
      </c>
      <c r="B146" s="257" t="s">
        <v>953</v>
      </c>
    </row>
    <row r="147" spans="1:2" ht="13.5">
      <c r="A147" s="161" t="s">
        <v>1186</v>
      </c>
      <c r="B147" s="257" t="s">
        <v>953</v>
      </c>
    </row>
    <row r="148" spans="1:2" ht="13.5">
      <c r="A148" s="161" t="s">
        <v>1192</v>
      </c>
      <c r="B148" s="257" t="s">
        <v>953</v>
      </c>
    </row>
    <row r="149" spans="1:2" ht="13.5">
      <c r="A149" s="161" t="s">
        <v>1191</v>
      </c>
      <c r="B149" s="257" t="s">
        <v>953</v>
      </c>
    </row>
    <row r="150" spans="1:2" ht="13.5">
      <c r="A150" s="161" t="s">
        <v>1041</v>
      </c>
      <c r="B150" s="257" t="s">
        <v>953</v>
      </c>
    </row>
    <row r="151" spans="1:2" ht="13.5">
      <c r="A151" s="161" t="s">
        <v>1042</v>
      </c>
      <c r="B151" s="257" t="s">
        <v>953</v>
      </c>
    </row>
    <row r="152" spans="1:2" ht="13.5">
      <c r="A152" s="161" t="s">
        <v>1043</v>
      </c>
      <c r="B152" s="257" t="s">
        <v>953</v>
      </c>
    </row>
    <row r="153" spans="1:2" ht="13.5">
      <c r="A153" s="161" t="s">
        <v>1044</v>
      </c>
      <c r="B153" s="162" t="s">
        <v>183</v>
      </c>
    </row>
    <row r="154" spans="1:2" ht="13.5">
      <c r="A154" s="161" t="s">
        <v>1045</v>
      </c>
      <c r="B154" s="162" t="s">
        <v>183</v>
      </c>
    </row>
    <row r="155" spans="1:2" ht="13.5">
      <c r="A155" s="161" t="s">
        <v>409</v>
      </c>
      <c r="B155" s="162" t="s">
        <v>796</v>
      </c>
    </row>
    <row r="156" spans="1:2" ht="13.5">
      <c r="A156" s="161" t="s">
        <v>1046</v>
      </c>
      <c r="B156" s="162" t="s">
        <v>953</v>
      </c>
    </row>
    <row r="157" spans="1:2" ht="13.5">
      <c r="A157" s="161" t="s">
        <v>1047</v>
      </c>
      <c r="B157" s="162" t="s">
        <v>797</v>
      </c>
    </row>
    <row r="158" spans="1:2" ht="13.5">
      <c r="A158" s="161" t="s">
        <v>1048</v>
      </c>
      <c r="B158" s="162" t="s">
        <v>953</v>
      </c>
    </row>
    <row r="159" spans="1:2" ht="13.5">
      <c r="A159" s="161" t="s">
        <v>1200</v>
      </c>
      <c r="B159" s="162" t="s">
        <v>953</v>
      </c>
    </row>
    <row r="160" spans="1:2" ht="13.5">
      <c r="A160" s="161" t="s">
        <v>1052</v>
      </c>
      <c r="B160" s="162" t="s">
        <v>953</v>
      </c>
    </row>
    <row r="161" spans="1:2" ht="13.5">
      <c r="A161" s="161" t="s">
        <v>1053</v>
      </c>
      <c r="B161" s="162" t="s">
        <v>953</v>
      </c>
    </row>
    <row r="162" spans="1:2" ht="13.5">
      <c r="A162" s="161" t="s">
        <v>1208</v>
      </c>
      <c r="B162" s="162" t="s">
        <v>953</v>
      </c>
    </row>
    <row r="163" spans="1:2" ht="13.5">
      <c r="A163" s="161" t="s">
        <v>1209</v>
      </c>
      <c r="B163" s="162" t="s">
        <v>953</v>
      </c>
    </row>
    <row r="164" spans="1:2" ht="13.5">
      <c r="A164" s="161" t="s">
        <v>992</v>
      </c>
      <c r="B164" s="162" t="s">
        <v>953</v>
      </c>
    </row>
    <row r="165" spans="1:2" ht="13.5">
      <c r="A165" s="161" t="s">
        <v>993</v>
      </c>
      <c r="B165" s="162" t="s">
        <v>411</v>
      </c>
    </row>
    <row r="166" spans="1:2" ht="13.5">
      <c r="A166" s="161" t="s">
        <v>994</v>
      </c>
      <c r="B166" s="162" t="s">
        <v>797</v>
      </c>
    </row>
    <row r="167" spans="1:2" ht="13.5">
      <c r="A167" s="161" t="s">
        <v>987</v>
      </c>
      <c r="B167" s="162" t="s">
        <v>411</v>
      </c>
    </row>
    <row r="168" spans="1:2" ht="13.5">
      <c r="A168" s="161" t="s">
        <v>988</v>
      </c>
      <c r="B168" s="162" t="s">
        <v>912</v>
      </c>
    </row>
    <row r="169" spans="1:2" ht="13.5">
      <c r="A169" s="161" t="s">
        <v>989</v>
      </c>
      <c r="B169" s="162" t="s">
        <v>953</v>
      </c>
    </row>
    <row r="170" spans="1:2" ht="13.5">
      <c r="A170" s="161" t="s">
        <v>997</v>
      </c>
      <c r="B170" s="162" t="s">
        <v>953</v>
      </c>
    </row>
    <row r="171" spans="1:2" ht="13.5">
      <c r="A171" s="161" t="s">
        <v>998</v>
      </c>
      <c r="B171" s="162" t="s">
        <v>953</v>
      </c>
    </row>
    <row r="172" spans="1:2" ht="13.5">
      <c r="A172" s="161" t="s">
        <v>778</v>
      </c>
      <c r="B172" s="162" t="s">
        <v>953</v>
      </c>
    </row>
    <row r="173" spans="1:2" ht="13.5">
      <c r="A173" s="161" t="s">
        <v>782</v>
      </c>
      <c r="B173" s="162" t="s">
        <v>953</v>
      </c>
    </row>
    <row r="174" spans="1:2" ht="13.5">
      <c r="A174" s="161" t="s">
        <v>783</v>
      </c>
      <c r="B174" s="162" t="s">
        <v>913</v>
      </c>
    </row>
    <row r="175" spans="1:2" ht="13.5">
      <c r="A175" s="161" t="s">
        <v>1006</v>
      </c>
      <c r="B175" s="162" t="s">
        <v>797</v>
      </c>
    </row>
    <row r="176" spans="1:2" ht="13.5">
      <c r="A176" s="161" t="s">
        <v>1007</v>
      </c>
      <c r="B176" s="162" t="s">
        <v>797</v>
      </c>
    </row>
    <row r="177" spans="1:2" ht="13.5">
      <c r="A177" s="161" t="s">
        <v>1226</v>
      </c>
      <c r="B177" s="162" t="s">
        <v>411</v>
      </c>
    </row>
    <row r="178" spans="1:2" ht="13.5">
      <c r="A178" s="161" t="s">
        <v>784</v>
      </c>
      <c r="B178" s="162" t="s">
        <v>953</v>
      </c>
    </row>
    <row r="179" spans="1:2" ht="13.5">
      <c r="A179" s="161" t="s">
        <v>1008</v>
      </c>
      <c r="B179" s="162" t="s">
        <v>953</v>
      </c>
    </row>
    <row r="180" spans="1:2" ht="13.5">
      <c r="A180" s="161" t="s">
        <v>1009</v>
      </c>
      <c r="B180" s="162" t="s">
        <v>410</v>
      </c>
    </row>
    <row r="181" spans="1:2" ht="13.5">
      <c r="A181" s="161" t="s">
        <v>1010</v>
      </c>
      <c r="B181" s="162" t="s">
        <v>410</v>
      </c>
    </row>
    <row r="182" spans="1:2" ht="13.5">
      <c r="A182" s="161" t="s">
        <v>785</v>
      </c>
      <c r="B182" s="162" t="s">
        <v>410</v>
      </c>
    </row>
    <row r="183" spans="1:2" ht="13.5">
      <c r="A183" s="161" t="s">
        <v>786</v>
      </c>
      <c r="B183" s="162" t="s">
        <v>797</v>
      </c>
    </row>
    <row r="184" spans="1:2" ht="13.5">
      <c r="A184" s="161" t="s">
        <v>787</v>
      </c>
      <c r="B184" s="162" t="s">
        <v>183</v>
      </c>
    </row>
    <row r="185" spans="1:2" ht="13.5">
      <c r="A185" s="161" t="s">
        <v>788</v>
      </c>
      <c r="B185" s="162" t="s">
        <v>797</v>
      </c>
    </row>
    <row r="186" spans="1:2" ht="13.5">
      <c r="A186" s="161" t="s">
        <v>789</v>
      </c>
      <c r="B186" s="162" t="s">
        <v>411</v>
      </c>
    </row>
    <row r="187" spans="1:2" ht="13.5">
      <c r="A187" s="161" t="s">
        <v>790</v>
      </c>
      <c r="B187" s="162" t="s">
        <v>797</v>
      </c>
    </row>
    <row r="188" spans="1:2" ht="13.5">
      <c r="A188" s="161" t="s">
        <v>164</v>
      </c>
      <c r="B188" s="162" t="s">
        <v>409</v>
      </c>
    </row>
    <row r="189" spans="1:2" ht="13.5">
      <c r="A189" s="161" t="s">
        <v>635</v>
      </c>
      <c r="B189" s="162" t="s">
        <v>953</v>
      </c>
    </row>
    <row r="190" spans="1:2" ht="13.5">
      <c r="A190" s="161" t="s">
        <v>636</v>
      </c>
      <c r="B190" s="162" t="s">
        <v>410</v>
      </c>
    </row>
    <row r="191" spans="1:2" ht="13.5">
      <c r="A191" s="161" t="s">
        <v>426</v>
      </c>
      <c r="B191" s="162" t="s">
        <v>912</v>
      </c>
    </row>
    <row r="192" spans="1:2" ht="13.5">
      <c r="A192" s="161" t="s">
        <v>425</v>
      </c>
      <c r="B192" s="162" t="s">
        <v>410</v>
      </c>
    </row>
    <row r="193" spans="1:2" ht="13.5">
      <c r="A193" s="161" t="s">
        <v>216</v>
      </c>
      <c r="B193" s="162" t="s">
        <v>183</v>
      </c>
    </row>
    <row r="194" spans="1:2" ht="13.5">
      <c r="A194" s="161" t="s">
        <v>217</v>
      </c>
      <c r="B194" s="162" t="s">
        <v>953</v>
      </c>
    </row>
    <row r="195" spans="1:2" ht="13.5">
      <c r="A195" s="161" t="s">
        <v>218</v>
      </c>
      <c r="B195" s="162" t="s">
        <v>953</v>
      </c>
    </row>
    <row r="196" spans="1:2" ht="13.5">
      <c r="A196" s="161" t="s">
        <v>219</v>
      </c>
      <c r="B196" s="162" t="s">
        <v>953</v>
      </c>
    </row>
    <row r="197" spans="1:2" ht="13.5">
      <c r="A197" s="161" t="s">
        <v>220</v>
      </c>
      <c r="B197" s="162" t="s">
        <v>953</v>
      </c>
    </row>
    <row r="198" spans="1:2" ht="13.5">
      <c r="A198" s="161" t="s">
        <v>221</v>
      </c>
      <c r="B198" s="162" t="s">
        <v>953</v>
      </c>
    </row>
    <row r="199" spans="1:2" ht="13.5">
      <c r="A199" s="161" t="s">
        <v>13</v>
      </c>
      <c r="B199" s="162" t="s">
        <v>410</v>
      </c>
    </row>
    <row r="200" spans="1:2" ht="13.5">
      <c r="A200" s="161" t="s">
        <v>175</v>
      </c>
      <c r="B200" s="162" t="s">
        <v>953</v>
      </c>
    </row>
    <row r="201" spans="1:2" ht="13.5">
      <c r="A201" s="161" t="s">
        <v>15</v>
      </c>
      <c r="B201" s="162" t="s">
        <v>410</v>
      </c>
    </row>
    <row r="202" spans="1:2" ht="13.5">
      <c r="A202" s="161" t="s">
        <v>16</v>
      </c>
      <c r="B202" s="162" t="s">
        <v>953</v>
      </c>
    </row>
    <row r="203" spans="1:2" ht="13.5">
      <c r="A203" s="161" t="s">
        <v>17</v>
      </c>
      <c r="B203" s="162" t="s">
        <v>411</v>
      </c>
    </row>
    <row r="204" spans="1:2" ht="13.5">
      <c r="A204" s="161" t="s">
        <v>18</v>
      </c>
      <c r="B204" s="162" t="s">
        <v>410</v>
      </c>
    </row>
    <row r="205" spans="1:2" ht="13.5">
      <c r="A205" s="161" t="s">
        <v>19</v>
      </c>
      <c r="B205" s="162" t="s">
        <v>953</v>
      </c>
    </row>
    <row r="206" spans="1:2" ht="13.5">
      <c r="A206" s="161" t="s">
        <v>177</v>
      </c>
      <c r="B206" s="162" t="s">
        <v>178</v>
      </c>
    </row>
    <row r="207" spans="1:2" ht="13.5">
      <c r="A207" s="161" t="s">
        <v>225</v>
      </c>
      <c r="B207" s="162" t="s">
        <v>912</v>
      </c>
    </row>
    <row r="208" spans="1:2" ht="13.5">
      <c r="A208" s="161" t="s">
        <v>228</v>
      </c>
      <c r="B208" s="162" t="s">
        <v>797</v>
      </c>
    </row>
    <row r="209" spans="1:2" ht="13.5">
      <c r="A209" s="161" t="s">
        <v>229</v>
      </c>
      <c r="B209" s="162" t="s">
        <v>912</v>
      </c>
    </row>
    <row r="210" spans="1:2" ht="13.5">
      <c r="A210" s="161" t="s">
        <v>448</v>
      </c>
      <c r="B210" s="162" t="s">
        <v>797</v>
      </c>
    </row>
    <row r="211" spans="1:2" ht="13.5">
      <c r="A211" s="161" t="s">
        <v>449</v>
      </c>
      <c r="B211" s="162" t="s">
        <v>953</v>
      </c>
    </row>
    <row r="212" spans="1:2" ht="13.5">
      <c r="A212" s="161" t="s">
        <v>450</v>
      </c>
      <c r="B212" s="162" t="s">
        <v>797</v>
      </c>
    </row>
    <row r="213" spans="1:2" ht="13.5">
      <c r="A213" s="161" t="s">
        <v>451</v>
      </c>
      <c r="B213" s="162" t="s">
        <v>797</v>
      </c>
    </row>
    <row r="214" spans="1:2" ht="13.5">
      <c r="A214" s="161" t="s">
        <v>452</v>
      </c>
      <c r="B214" s="162" t="s">
        <v>797</v>
      </c>
    </row>
    <row r="215" spans="1:2" ht="13.5">
      <c r="A215" s="161" t="s">
        <v>453</v>
      </c>
      <c r="B215" s="162" t="s">
        <v>953</v>
      </c>
    </row>
    <row r="216" spans="1:2" ht="13.5">
      <c r="A216" s="161" t="s">
        <v>454</v>
      </c>
      <c r="B216" s="162" t="s">
        <v>953</v>
      </c>
    </row>
    <row r="217" spans="1:2" ht="13.5">
      <c r="A217" s="161" t="s">
        <v>455</v>
      </c>
      <c r="B217" s="162" t="s">
        <v>912</v>
      </c>
    </row>
    <row r="218" spans="1:2" ht="13.5">
      <c r="A218" s="161" t="s">
        <v>27</v>
      </c>
      <c r="B218" s="162" t="s">
        <v>411</v>
      </c>
    </row>
    <row r="219" spans="1:2" ht="13.5">
      <c r="A219" s="161" t="s">
        <v>28</v>
      </c>
      <c r="B219" s="162" t="s">
        <v>411</v>
      </c>
    </row>
    <row r="220" spans="1:2" ht="13.5">
      <c r="A220" s="161" t="s">
        <v>29</v>
      </c>
      <c r="B220" s="162" t="s">
        <v>953</v>
      </c>
    </row>
    <row r="221" spans="1:2" ht="13.5">
      <c r="A221" s="161" t="s">
        <v>30</v>
      </c>
      <c r="B221" s="162" t="s">
        <v>953</v>
      </c>
    </row>
    <row r="222" spans="1:2" ht="13.5">
      <c r="A222" s="161" t="s">
        <v>37</v>
      </c>
      <c r="B222" s="162" t="s">
        <v>411</v>
      </c>
    </row>
    <row r="223" spans="1:2" ht="13.5">
      <c r="A223" s="161" t="s">
        <v>38</v>
      </c>
      <c r="B223" s="162" t="s">
        <v>953</v>
      </c>
    </row>
    <row r="224" spans="1:2" ht="13.5">
      <c r="A224" s="161" t="s">
        <v>39</v>
      </c>
      <c r="B224" s="162" t="s">
        <v>953</v>
      </c>
    </row>
    <row r="225" spans="1:2" ht="13.5">
      <c r="A225" s="161" t="s">
        <v>40</v>
      </c>
      <c r="B225" s="162" t="s">
        <v>797</v>
      </c>
    </row>
    <row r="226" spans="1:2" ht="13.5">
      <c r="A226" s="161" t="s">
        <v>196</v>
      </c>
      <c r="B226" s="162" t="s">
        <v>410</v>
      </c>
    </row>
    <row r="227" spans="1:2" ht="13.5">
      <c r="A227" s="161" t="s">
        <v>401</v>
      </c>
      <c r="B227" s="162" t="s">
        <v>410</v>
      </c>
    </row>
    <row r="228" spans="1:2" ht="13.5">
      <c r="A228" s="161" t="s">
        <v>402</v>
      </c>
      <c r="B228" s="162" t="s">
        <v>797</v>
      </c>
    </row>
    <row r="229" spans="1:2" ht="13.5">
      <c r="A229" s="161" t="s">
        <v>403</v>
      </c>
      <c r="B229" s="162" t="s">
        <v>953</v>
      </c>
    </row>
    <row r="230" spans="1:2" ht="13.5">
      <c r="A230" s="161" t="s">
        <v>404</v>
      </c>
      <c r="B230" s="162" t="s">
        <v>912</v>
      </c>
    </row>
    <row r="231" spans="1:2" ht="13.5">
      <c r="A231" s="161" t="s">
        <v>405</v>
      </c>
      <c r="B231" s="162" t="s">
        <v>953</v>
      </c>
    </row>
    <row r="232" spans="1:2" ht="13.5">
      <c r="A232" s="161" t="s">
        <v>406</v>
      </c>
      <c r="B232" s="162" t="s">
        <v>953</v>
      </c>
    </row>
    <row r="233" spans="1:2" ht="13.5">
      <c r="A233" s="161" t="s">
        <v>200</v>
      </c>
      <c r="B233" s="162" t="s">
        <v>953</v>
      </c>
    </row>
    <row r="234" spans="1:2" ht="13.5">
      <c r="A234" s="161" t="s">
        <v>201</v>
      </c>
      <c r="B234" s="162" t="s">
        <v>410</v>
      </c>
    </row>
    <row r="235" spans="1:2" ht="13.5">
      <c r="A235" s="161" t="s">
        <v>202</v>
      </c>
      <c r="B235" s="162" t="s">
        <v>411</v>
      </c>
    </row>
    <row r="236" spans="1:2" ht="13.5">
      <c r="A236" s="161" t="s">
        <v>203</v>
      </c>
      <c r="B236" s="162" t="s">
        <v>410</v>
      </c>
    </row>
    <row r="237" spans="1:2" ht="13.5">
      <c r="A237" s="161" t="s">
        <v>204</v>
      </c>
      <c r="B237" s="162" t="s">
        <v>953</v>
      </c>
    </row>
    <row r="238" spans="1:2" ht="13.5">
      <c r="A238" s="161" t="s">
        <v>205</v>
      </c>
      <c r="B238" s="162" t="s">
        <v>953</v>
      </c>
    </row>
    <row r="239" spans="1:2" ht="13.5">
      <c r="A239" s="161" t="s">
        <v>206</v>
      </c>
      <c r="B239" s="162" t="s">
        <v>410</v>
      </c>
    </row>
    <row r="240" spans="1:2" ht="13.5">
      <c r="A240" s="161" t="s">
        <v>416</v>
      </c>
      <c r="B240" s="162" t="s">
        <v>410</v>
      </c>
    </row>
    <row r="241" spans="1:2" ht="13.5">
      <c r="A241" s="161" t="s">
        <v>630</v>
      </c>
      <c r="B241" s="162" t="s">
        <v>410</v>
      </c>
    </row>
    <row r="242" spans="1:2" ht="13.5">
      <c r="A242" s="161" t="s">
        <v>631</v>
      </c>
      <c r="B242" s="162" t="s">
        <v>410</v>
      </c>
    </row>
    <row r="243" spans="1:2" ht="13.5">
      <c r="A243" s="161" t="s">
        <v>1139</v>
      </c>
      <c r="B243" s="162" t="s">
        <v>410</v>
      </c>
    </row>
    <row r="244" spans="1:2" ht="13.5">
      <c r="A244" s="161" t="s">
        <v>1140</v>
      </c>
      <c r="B244" s="162" t="s">
        <v>410</v>
      </c>
    </row>
    <row r="245" spans="1:2" ht="13.5">
      <c r="A245" s="161" t="s">
        <v>1141</v>
      </c>
      <c r="B245" s="162" t="s">
        <v>410</v>
      </c>
    </row>
    <row r="246" spans="1:2" ht="13.5">
      <c r="A246" s="161" t="s">
        <v>1080</v>
      </c>
      <c r="B246" s="162" t="s">
        <v>953</v>
      </c>
    </row>
    <row r="247" spans="1:2" ht="13.5">
      <c r="A247" s="161" t="s">
        <v>906</v>
      </c>
      <c r="B247" s="162" t="s">
        <v>953</v>
      </c>
    </row>
    <row r="248" spans="1:2" ht="13.5">
      <c r="A248" s="161" t="s">
        <v>1142</v>
      </c>
      <c r="B248" s="162" t="s">
        <v>953</v>
      </c>
    </row>
    <row r="249" spans="1:2" ht="13.5">
      <c r="A249" s="161" t="s">
        <v>461</v>
      </c>
      <c r="B249" s="162" t="s">
        <v>953</v>
      </c>
    </row>
    <row r="250" spans="1:2" ht="13.5">
      <c r="A250" s="161" t="s">
        <v>1085</v>
      </c>
      <c r="B250" s="162" t="s">
        <v>953</v>
      </c>
    </row>
    <row r="251" spans="1:2" ht="13.5">
      <c r="A251" s="161" t="s">
        <v>1149</v>
      </c>
      <c r="B251" s="162" t="s">
        <v>953</v>
      </c>
    </row>
    <row r="252" spans="1:2" ht="13.5">
      <c r="A252" s="161" t="s">
        <v>1150</v>
      </c>
      <c r="B252" s="162" t="s">
        <v>953</v>
      </c>
    </row>
    <row r="253" spans="1:2" ht="13.5">
      <c r="A253" s="161" t="s">
        <v>1151</v>
      </c>
      <c r="B253" s="162" t="s">
        <v>953</v>
      </c>
    </row>
    <row r="254" spans="1:2" ht="13.5">
      <c r="A254" s="161" t="s">
        <v>1152</v>
      </c>
      <c r="B254" s="162" t="s">
        <v>953</v>
      </c>
    </row>
    <row r="255" spans="1:2" ht="13.5">
      <c r="A255" s="161" t="s">
        <v>1153</v>
      </c>
      <c r="B255" s="162" t="s">
        <v>907</v>
      </c>
    </row>
    <row r="256" spans="1:2" ht="13.5">
      <c r="A256" s="161" t="s">
        <v>1154</v>
      </c>
      <c r="B256" s="162" t="s">
        <v>410</v>
      </c>
    </row>
    <row r="257" spans="1:2" ht="13.5">
      <c r="A257" s="161" t="s">
        <v>1155</v>
      </c>
      <c r="B257" s="162" t="s">
        <v>410</v>
      </c>
    </row>
    <row r="258" spans="1:2" ht="13.5">
      <c r="A258" s="161" t="s">
        <v>1157</v>
      </c>
      <c r="B258" s="162" t="s">
        <v>953</v>
      </c>
    </row>
    <row r="259" spans="1:2" ht="13.5">
      <c r="A259" s="161" t="s">
        <v>1158</v>
      </c>
      <c r="B259" s="162" t="s">
        <v>953</v>
      </c>
    </row>
    <row r="260" spans="1:2" ht="13.5">
      <c r="A260" s="161" t="s">
        <v>1159</v>
      </c>
      <c r="B260" s="162" t="s">
        <v>953</v>
      </c>
    </row>
    <row r="261" spans="1:2" ht="13.5">
      <c r="A261" s="161" t="s">
        <v>1160</v>
      </c>
      <c r="B261" s="162" t="s">
        <v>912</v>
      </c>
    </row>
    <row r="262" spans="1:2" ht="13.5">
      <c r="A262" s="161" t="s">
        <v>1161</v>
      </c>
      <c r="B262" s="162" t="s">
        <v>912</v>
      </c>
    </row>
    <row r="263" spans="1:2" ht="13.5">
      <c r="A263" s="161" t="s">
        <v>1162</v>
      </c>
      <c r="B263" s="162" t="s">
        <v>953</v>
      </c>
    </row>
    <row r="264" spans="1:2" ht="13.5">
      <c r="A264" s="161" t="s">
        <v>1107</v>
      </c>
      <c r="B264" s="162" t="s">
        <v>953</v>
      </c>
    </row>
    <row r="265" spans="1:2" ht="13.5">
      <c r="A265" s="161" t="s">
        <v>1108</v>
      </c>
      <c r="B265" s="162" t="s">
        <v>953</v>
      </c>
    </row>
    <row r="266" spans="1:2" ht="13.5">
      <c r="A266" s="161" t="s">
        <v>1109</v>
      </c>
      <c r="B266" s="162" t="s">
        <v>183</v>
      </c>
    </row>
    <row r="267" spans="1:2" ht="13.5">
      <c r="A267" s="161" t="s">
        <v>882</v>
      </c>
      <c r="B267" s="162" t="s">
        <v>411</v>
      </c>
    </row>
    <row r="268" spans="1:2" ht="13.5">
      <c r="A268" s="161" t="s">
        <v>883</v>
      </c>
      <c r="B268" s="162" t="s">
        <v>953</v>
      </c>
    </row>
    <row r="269" spans="1:2" ht="13.5">
      <c r="A269" s="161" t="s">
        <v>885</v>
      </c>
      <c r="B269" s="162" t="s">
        <v>913</v>
      </c>
    </row>
    <row r="270" spans="1:2" ht="13.5">
      <c r="A270" s="161" t="s">
        <v>886</v>
      </c>
      <c r="B270" s="162" t="s">
        <v>410</v>
      </c>
    </row>
    <row r="271" spans="1:2" ht="13.5">
      <c r="A271" s="161" t="s">
        <v>887</v>
      </c>
      <c r="B271" s="162" t="s">
        <v>953</v>
      </c>
    </row>
    <row r="272" spans="1:2" ht="13.5">
      <c r="A272" s="161" t="s">
        <v>893</v>
      </c>
      <c r="B272" s="162" t="s">
        <v>953</v>
      </c>
    </row>
    <row r="273" spans="1:2" ht="13.5">
      <c r="A273" s="161" t="s">
        <v>894</v>
      </c>
      <c r="B273" s="162" t="s">
        <v>953</v>
      </c>
    </row>
    <row r="274" spans="1:2" ht="13.5">
      <c r="A274" s="161" t="s">
        <v>888</v>
      </c>
      <c r="B274" s="162" t="s">
        <v>953</v>
      </c>
    </row>
    <row r="275" spans="1:2" ht="13.5">
      <c r="A275" s="161" t="s">
        <v>889</v>
      </c>
      <c r="B275" s="162" t="s">
        <v>953</v>
      </c>
    </row>
    <row r="276" spans="1:2" ht="13.5">
      <c r="A276" s="161" t="s">
        <v>890</v>
      </c>
      <c r="B276" s="162" t="s">
        <v>913</v>
      </c>
    </row>
    <row r="277" spans="1:2" ht="13.5">
      <c r="A277" s="161" t="s">
        <v>677</v>
      </c>
      <c r="B277" s="162" t="s">
        <v>913</v>
      </c>
    </row>
    <row r="278" spans="1:2" ht="13.5">
      <c r="A278" s="161" t="s">
        <v>1124</v>
      </c>
      <c r="B278" s="162" t="s">
        <v>913</v>
      </c>
    </row>
    <row r="279" spans="1:2" ht="13.5">
      <c r="A279" s="161" t="s">
        <v>678</v>
      </c>
      <c r="B279" s="162" t="s">
        <v>953</v>
      </c>
    </row>
    <row r="280" spans="1:2" ht="13.5">
      <c r="A280" s="161" t="s">
        <v>679</v>
      </c>
      <c r="B280" s="162" t="s">
        <v>913</v>
      </c>
    </row>
    <row r="281" spans="1:2" ht="13.5">
      <c r="A281" s="161" t="s">
        <v>680</v>
      </c>
      <c r="B281" s="162" t="s">
        <v>953</v>
      </c>
    </row>
    <row r="282" spans="1:2" ht="13.5">
      <c r="A282" s="161" t="s">
        <v>897</v>
      </c>
      <c r="B282" s="162" t="s">
        <v>913</v>
      </c>
    </row>
    <row r="283" spans="1:2" ht="13.5">
      <c r="A283" s="161" t="s">
        <v>681</v>
      </c>
      <c r="B283" s="162" t="s">
        <v>953</v>
      </c>
    </row>
    <row r="284" spans="1:2" ht="13.5">
      <c r="A284" s="161" t="s">
        <v>682</v>
      </c>
      <c r="B284" s="162" t="s">
        <v>797</v>
      </c>
    </row>
    <row r="285" spans="1:2" ht="13.5">
      <c r="A285" s="161" t="s">
        <v>683</v>
      </c>
      <c r="B285" s="162" t="s">
        <v>411</v>
      </c>
    </row>
    <row r="286" spans="1:2" ht="13.5">
      <c r="A286" s="161" t="s">
        <v>684</v>
      </c>
      <c r="B286" s="162" t="s">
        <v>411</v>
      </c>
    </row>
    <row r="287" spans="1:2" ht="13.5">
      <c r="A287" s="161" t="s">
        <v>685</v>
      </c>
      <c r="B287" s="162" t="s">
        <v>953</v>
      </c>
    </row>
    <row r="288" spans="1:2" ht="13.5">
      <c r="A288" s="161" t="s">
        <v>479</v>
      </c>
      <c r="B288" s="162" t="s">
        <v>953</v>
      </c>
    </row>
    <row r="289" spans="1:2" ht="13.5">
      <c r="A289" s="161" t="s">
        <v>273</v>
      </c>
      <c r="B289" s="162" t="s">
        <v>411</v>
      </c>
    </row>
    <row r="290" spans="1:2" ht="13.5">
      <c r="A290" s="161" t="s">
        <v>663</v>
      </c>
      <c r="B290" s="162" t="s">
        <v>913</v>
      </c>
    </row>
    <row r="291" spans="1:2" ht="13.5">
      <c r="A291" s="161" t="s">
        <v>327</v>
      </c>
      <c r="B291" s="162" t="s">
        <v>797</v>
      </c>
    </row>
    <row r="292" spans="1:2" ht="13.5">
      <c r="A292" s="161" t="s">
        <v>328</v>
      </c>
      <c r="B292" s="162" t="s">
        <v>797</v>
      </c>
    </row>
    <row r="293" spans="1:2" ht="13.5">
      <c r="A293" s="161" t="s">
        <v>329</v>
      </c>
      <c r="B293" s="162" t="s">
        <v>953</v>
      </c>
    </row>
    <row r="294" spans="1:2" ht="13.5">
      <c r="A294" s="161" t="s">
        <v>330</v>
      </c>
      <c r="B294" s="162" t="s">
        <v>953</v>
      </c>
    </row>
    <row r="295" spans="1:2" ht="13.5">
      <c r="A295" s="161" t="s">
        <v>67</v>
      </c>
      <c r="B295" s="162" t="s">
        <v>953</v>
      </c>
    </row>
    <row r="296" spans="1:2" ht="13.5">
      <c r="A296" s="161" t="s">
        <v>68</v>
      </c>
      <c r="B296" s="162" t="s">
        <v>953</v>
      </c>
    </row>
    <row r="297" spans="1:2" ht="13.5">
      <c r="A297" s="161" t="s">
        <v>118</v>
      </c>
      <c r="B297" s="162" t="s">
        <v>953</v>
      </c>
    </row>
    <row r="298" spans="1:2" ht="13.5">
      <c r="A298" s="161" t="s">
        <v>119</v>
      </c>
      <c r="B298" s="162" t="s">
        <v>953</v>
      </c>
    </row>
    <row r="299" spans="1:2" ht="13.5">
      <c r="A299" s="161" t="s">
        <v>120</v>
      </c>
      <c r="B299" s="162" t="s">
        <v>953</v>
      </c>
    </row>
    <row r="300" spans="1:2" ht="13.5">
      <c r="A300" s="161" t="s">
        <v>338</v>
      </c>
      <c r="B300" s="162" t="s">
        <v>410</v>
      </c>
    </row>
    <row r="301" spans="1:2" ht="13.5">
      <c r="A301" s="161" t="s">
        <v>121</v>
      </c>
      <c r="B301" s="162" t="s">
        <v>913</v>
      </c>
    </row>
    <row r="302" spans="1:2" ht="13.5">
      <c r="A302" s="161" t="s">
        <v>554</v>
      </c>
      <c r="B302" s="162" t="s">
        <v>913</v>
      </c>
    </row>
    <row r="303" spans="1:2" ht="13.5">
      <c r="A303" s="161" t="s">
        <v>339</v>
      </c>
      <c r="B303" s="162" t="s">
        <v>913</v>
      </c>
    </row>
    <row r="304" spans="1:2" ht="13.5">
      <c r="A304" s="161" t="s">
        <v>340</v>
      </c>
      <c r="B304" s="162" t="s">
        <v>913</v>
      </c>
    </row>
    <row r="305" spans="1:2" ht="13.5">
      <c r="A305" s="161" t="s">
        <v>341</v>
      </c>
      <c r="B305" s="162" t="s">
        <v>913</v>
      </c>
    </row>
    <row r="306" spans="1:2" ht="13.5">
      <c r="A306" s="161" t="s">
        <v>460</v>
      </c>
      <c r="B306" s="162" t="s">
        <v>913</v>
      </c>
    </row>
    <row r="307" spans="1:2" ht="13.5">
      <c r="A307" s="161" t="s">
        <v>555</v>
      </c>
      <c r="B307" s="162" t="s">
        <v>913</v>
      </c>
    </row>
    <row r="308" spans="1:2" ht="13.5">
      <c r="A308" s="161" t="s">
        <v>556</v>
      </c>
      <c r="B308" s="162" t="s">
        <v>410</v>
      </c>
    </row>
    <row r="309" spans="1:2" ht="13.5">
      <c r="A309" s="161" t="s">
        <v>557</v>
      </c>
      <c r="B309" s="162" t="s">
        <v>410</v>
      </c>
    </row>
    <row r="310" spans="1:2" ht="13.5">
      <c r="A310" s="161" t="s">
        <v>558</v>
      </c>
      <c r="B310" s="162" t="s">
        <v>410</v>
      </c>
    </row>
    <row r="311" spans="1:2" ht="13.5">
      <c r="A311" s="161" t="s">
        <v>559</v>
      </c>
      <c r="B311" s="162" t="s">
        <v>410</v>
      </c>
    </row>
    <row r="312" spans="1:2" ht="13.5">
      <c r="A312" s="161" t="s">
        <v>560</v>
      </c>
      <c r="B312" s="162" t="s">
        <v>410</v>
      </c>
    </row>
    <row r="313" spans="1:2" ht="13.5">
      <c r="A313" s="161" t="s">
        <v>561</v>
      </c>
      <c r="B313" s="162" t="s">
        <v>953</v>
      </c>
    </row>
    <row r="314" spans="1:2" ht="13.5">
      <c r="A314" s="161" t="s">
        <v>138</v>
      </c>
      <c r="B314" s="162" t="s">
        <v>410</v>
      </c>
    </row>
    <row r="315" spans="1:2" ht="13.5">
      <c r="A315" s="161" t="s">
        <v>139</v>
      </c>
      <c r="B315" s="162" t="s">
        <v>953</v>
      </c>
    </row>
    <row r="316" spans="1:2" ht="13.5">
      <c r="A316" s="161" t="s">
        <v>140</v>
      </c>
      <c r="B316" s="162" t="s">
        <v>953</v>
      </c>
    </row>
    <row r="317" spans="1:2" ht="13.5">
      <c r="A317" s="161" t="s">
        <v>141</v>
      </c>
      <c r="B317" s="162" t="s">
        <v>411</v>
      </c>
    </row>
    <row r="318" spans="1:2" ht="13.5">
      <c r="A318" s="161" t="s">
        <v>142</v>
      </c>
      <c r="B318" s="162" t="s">
        <v>953</v>
      </c>
    </row>
    <row r="319" spans="1:2" ht="13.5">
      <c r="A319" s="161" t="s">
        <v>88</v>
      </c>
      <c r="B319" s="162" t="s">
        <v>953</v>
      </c>
    </row>
    <row r="320" spans="1:2" ht="13.5">
      <c r="A320" s="161" t="s">
        <v>304</v>
      </c>
      <c r="B320" s="162" t="s">
        <v>953</v>
      </c>
    </row>
    <row r="321" spans="1:2" ht="13.5">
      <c r="A321" s="161" t="s">
        <v>305</v>
      </c>
      <c r="B321" s="162" t="s">
        <v>953</v>
      </c>
    </row>
    <row r="322" spans="1:2" ht="13.5">
      <c r="A322" s="161" t="s">
        <v>306</v>
      </c>
      <c r="B322" s="162" t="s">
        <v>953</v>
      </c>
    </row>
    <row r="323" spans="1:2" ht="13.5">
      <c r="A323" s="161" t="s">
        <v>95</v>
      </c>
      <c r="B323" s="162" t="s">
        <v>953</v>
      </c>
    </row>
    <row r="324" spans="1:2" ht="13.5">
      <c r="A324" s="161" t="s">
        <v>96</v>
      </c>
      <c r="B324" s="162" t="s">
        <v>953</v>
      </c>
    </row>
    <row r="325" spans="1:2" ht="13.5">
      <c r="A325" s="161" t="s">
        <v>97</v>
      </c>
      <c r="B325" s="162" t="s">
        <v>953</v>
      </c>
    </row>
    <row r="326" spans="1:2" ht="13.5">
      <c r="A326" s="161" t="s">
        <v>98</v>
      </c>
      <c r="B326" s="162" t="s">
        <v>953</v>
      </c>
    </row>
    <row r="327" spans="1:2" ht="13.5">
      <c r="A327" s="161" t="s">
        <v>316</v>
      </c>
      <c r="B327" s="162" t="s">
        <v>953</v>
      </c>
    </row>
    <row r="328" spans="1:2" ht="13.5">
      <c r="A328" s="161" t="s">
        <v>317</v>
      </c>
      <c r="B328" s="162" t="s">
        <v>953</v>
      </c>
    </row>
    <row r="329" spans="1:2" ht="13.5">
      <c r="A329" s="161" t="s">
        <v>531</v>
      </c>
      <c r="B329" s="162" t="s">
        <v>953</v>
      </c>
    </row>
    <row r="330" spans="1:2" ht="13.5">
      <c r="A330" s="161" t="s">
        <v>737</v>
      </c>
      <c r="B330" s="162" t="s">
        <v>953</v>
      </c>
    </row>
    <row r="331" spans="1:2" ht="13.5">
      <c r="A331" s="161" t="s">
        <v>671</v>
      </c>
      <c r="B331" s="162" t="s">
        <v>953</v>
      </c>
    </row>
    <row r="332" spans="1:2" ht="13.5">
      <c r="A332" s="161" t="s">
        <v>672</v>
      </c>
      <c r="B332" s="162" t="s">
        <v>912</v>
      </c>
    </row>
    <row r="333" spans="1:2" ht="13.5">
      <c r="A333" s="161" t="s">
        <v>673</v>
      </c>
      <c r="B333" s="162" t="s">
        <v>183</v>
      </c>
    </row>
    <row r="334" spans="1:2" ht="13.5">
      <c r="A334" s="161" t="s">
        <v>674</v>
      </c>
      <c r="B334" s="162" t="s">
        <v>953</v>
      </c>
    </row>
    <row r="335" spans="1:2" ht="13.5">
      <c r="A335" s="161" t="s">
        <v>675</v>
      </c>
      <c r="B335" s="162" t="s">
        <v>410</v>
      </c>
    </row>
    <row r="336" spans="1:2" ht="13.5">
      <c r="A336" s="161" t="s">
        <v>676</v>
      </c>
      <c r="B336" s="162" t="s">
        <v>980</v>
      </c>
    </row>
    <row r="337" spans="1:2" ht="13.5">
      <c r="A337" s="161" t="s">
        <v>981</v>
      </c>
      <c r="B337" s="162" t="s">
        <v>912</v>
      </c>
    </row>
    <row r="338" spans="1:2" ht="13.5">
      <c r="A338" s="161" t="s">
        <v>1193</v>
      </c>
      <c r="B338" s="162" t="s">
        <v>797</v>
      </c>
    </row>
    <row r="339" spans="1:2" ht="13.5">
      <c r="A339" s="161" t="s">
        <v>1194</v>
      </c>
      <c r="B339" s="162" t="s">
        <v>953</v>
      </c>
    </row>
    <row r="340" spans="1:2" ht="13.5">
      <c r="A340" s="161" t="s">
        <v>1195</v>
      </c>
      <c r="B340" s="162" t="s">
        <v>953</v>
      </c>
    </row>
    <row r="341" spans="1:2" ht="13.5">
      <c r="A341" s="161" t="s">
        <v>1196</v>
      </c>
      <c r="B341" s="162" t="s">
        <v>797</v>
      </c>
    </row>
    <row r="342" spans="1:2" ht="13.5">
      <c r="A342" s="161" t="s">
        <v>1197</v>
      </c>
      <c r="B342" s="162" t="s">
        <v>410</v>
      </c>
    </row>
    <row r="343" spans="1:2" ht="13.5">
      <c r="A343" s="161" t="s">
        <v>1198</v>
      </c>
      <c r="B343" s="162" t="s">
        <v>410</v>
      </c>
    </row>
    <row r="344" spans="1:2" ht="13.5">
      <c r="A344" s="161" t="s">
        <v>1202</v>
      </c>
      <c r="B344" s="162" t="s">
        <v>410</v>
      </c>
    </row>
    <row r="345" spans="1:2" ht="13.5">
      <c r="A345" s="161" t="s">
        <v>1051</v>
      </c>
      <c r="B345" s="162" t="s">
        <v>410</v>
      </c>
    </row>
    <row r="346" spans="1:2" ht="13.5">
      <c r="A346" s="161" t="s">
        <v>1199</v>
      </c>
      <c r="B346" s="162" t="s">
        <v>410</v>
      </c>
    </row>
    <row r="347" spans="1:2" ht="13.5">
      <c r="A347" s="161" t="s">
        <v>975</v>
      </c>
      <c r="B347" s="162" t="s">
        <v>411</v>
      </c>
    </row>
    <row r="348" spans="1:2" ht="13.5">
      <c r="A348" s="161" t="s">
        <v>976</v>
      </c>
      <c r="B348" s="162" t="s">
        <v>953</v>
      </c>
    </row>
    <row r="349" spans="1:2" ht="13.5">
      <c r="A349" s="161" t="s">
        <v>977</v>
      </c>
      <c r="B349" s="162" t="s">
        <v>410</v>
      </c>
    </row>
    <row r="350" spans="1:2" ht="13.5">
      <c r="A350" s="161" t="s">
        <v>978</v>
      </c>
      <c r="B350" s="162" t="s">
        <v>411</v>
      </c>
    </row>
    <row r="351" spans="1:2" ht="13.5">
      <c r="A351" s="161" t="s">
        <v>979</v>
      </c>
      <c r="B351" s="162" t="s">
        <v>953</v>
      </c>
    </row>
    <row r="352" spans="1:2" ht="13.5">
      <c r="A352" s="161" t="s">
        <v>1203</v>
      </c>
      <c r="B352" s="162" t="s">
        <v>953</v>
      </c>
    </row>
    <row r="353" spans="1:2" ht="13.5">
      <c r="A353" s="161" t="s">
        <v>1204</v>
      </c>
      <c r="B353" s="162" t="s">
        <v>411</v>
      </c>
    </row>
    <row r="354" spans="1:2" ht="13.5">
      <c r="A354" s="161" t="s">
        <v>1205</v>
      </c>
      <c r="B354" s="162" t="s">
        <v>912</v>
      </c>
    </row>
    <row r="355" spans="1:2" ht="13.5">
      <c r="A355" s="161" t="s">
        <v>1206</v>
      </c>
      <c r="B355" s="162" t="s">
        <v>953</v>
      </c>
    </row>
    <row r="356" spans="1:2" ht="13.5">
      <c r="A356" s="161" t="s">
        <v>1207</v>
      </c>
      <c r="B356" s="162" t="s">
        <v>953</v>
      </c>
    </row>
    <row r="357" spans="1:2" ht="13.5">
      <c r="A357" s="161" t="s">
        <v>984</v>
      </c>
      <c r="B357" s="162" t="s">
        <v>797</v>
      </c>
    </row>
    <row r="358" spans="1:2" ht="13.5">
      <c r="A358" s="161" t="s">
        <v>985</v>
      </c>
      <c r="B358" s="162" t="s">
        <v>912</v>
      </c>
    </row>
    <row r="359" spans="1:2" ht="13.5">
      <c r="A359" s="161" t="s">
        <v>986</v>
      </c>
      <c r="B359" s="162" t="s">
        <v>797</v>
      </c>
    </row>
    <row r="360" spans="1:2" ht="13.5">
      <c r="A360" s="161" t="s">
        <v>990</v>
      </c>
      <c r="B360" s="162" t="s">
        <v>411</v>
      </c>
    </row>
    <row r="361" spans="1:2" ht="13.5">
      <c r="A361" s="161" t="s">
        <v>991</v>
      </c>
      <c r="B361" s="162" t="s">
        <v>411</v>
      </c>
    </row>
    <row r="362" spans="1:2" ht="13.5">
      <c r="A362" s="161" t="s">
        <v>771</v>
      </c>
      <c r="B362" s="162" t="s">
        <v>411</v>
      </c>
    </row>
    <row r="363" spans="1:2" ht="13.5">
      <c r="A363" s="161" t="s">
        <v>772</v>
      </c>
      <c r="B363" s="162" t="s">
        <v>410</v>
      </c>
    </row>
    <row r="364" spans="1:2" ht="13.5">
      <c r="A364" s="161" t="s">
        <v>773</v>
      </c>
      <c r="B364" s="162" t="s">
        <v>411</v>
      </c>
    </row>
    <row r="365" spans="1:2" ht="13.5">
      <c r="A365" s="161" t="s">
        <v>779</v>
      </c>
      <c r="B365" s="162" t="s">
        <v>411</v>
      </c>
    </row>
    <row r="366" spans="1:2" ht="13.5">
      <c r="A366" s="161" t="s">
        <v>780</v>
      </c>
      <c r="B366" s="257" t="s">
        <v>410</v>
      </c>
    </row>
    <row r="367" spans="1:2" ht="13.5">
      <c r="A367" s="161" t="s">
        <v>781</v>
      </c>
      <c r="B367" s="162" t="s">
        <v>797</v>
      </c>
    </row>
    <row r="368" spans="1:2" ht="13.5">
      <c r="A368" s="161" t="s">
        <v>370</v>
      </c>
      <c r="B368" s="162" t="s">
        <v>953</v>
      </c>
    </row>
    <row r="369" spans="1:2" ht="13.5">
      <c r="A369" s="161" t="s">
        <v>162</v>
      </c>
      <c r="B369" s="162" t="s">
        <v>913</v>
      </c>
    </row>
    <row r="370" spans="1:2" ht="13.5">
      <c r="A370" s="161" t="s">
        <v>2</v>
      </c>
      <c r="B370" s="162" t="s">
        <v>913</v>
      </c>
    </row>
    <row r="371" spans="1:2" ht="13.5">
      <c r="A371" s="161" t="s">
        <v>212</v>
      </c>
      <c r="B371" s="162" t="s">
        <v>913</v>
      </c>
    </row>
    <row r="372" spans="1:2" ht="13.5">
      <c r="A372" s="161" t="s">
        <v>739</v>
      </c>
      <c r="B372" s="162" t="s">
        <v>913</v>
      </c>
    </row>
    <row r="373" spans="1:2" ht="13.5">
      <c r="A373" s="161" t="s">
        <v>740</v>
      </c>
      <c r="B373" s="162" t="s">
        <v>953</v>
      </c>
    </row>
    <row r="374" spans="1:2" ht="13.5">
      <c r="A374" s="161" t="s">
        <v>774</v>
      </c>
      <c r="B374" s="162" t="s">
        <v>410</v>
      </c>
    </row>
    <row r="375" spans="1:2" ht="13.5">
      <c r="A375" s="161" t="s">
        <v>775</v>
      </c>
      <c r="B375" s="162" t="s">
        <v>410</v>
      </c>
    </row>
    <row r="376" spans="1:2" ht="13.5">
      <c r="A376" s="161" t="s">
        <v>586</v>
      </c>
      <c r="B376" s="162" t="s">
        <v>410</v>
      </c>
    </row>
    <row r="377" spans="1:2" ht="13.5">
      <c r="A377" s="161" t="s">
        <v>777</v>
      </c>
      <c r="B377" s="162" t="s">
        <v>410</v>
      </c>
    </row>
    <row r="378" spans="1:2" ht="13.5">
      <c r="A378" s="161" t="s">
        <v>477</v>
      </c>
      <c r="B378" s="162" t="s">
        <v>953</v>
      </c>
    </row>
    <row r="379" spans="1:2" ht="13.5">
      <c r="A379" s="161" t="s">
        <v>478</v>
      </c>
      <c r="B379" s="162" t="s">
        <v>953</v>
      </c>
    </row>
    <row r="380" spans="1:2" ht="13.5">
      <c r="A380" s="161" t="s">
        <v>428</v>
      </c>
      <c r="B380" s="162" t="s">
        <v>953</v>
      </c>
    </row>
    <row r="381" spans="1:2" ht="13.5">
      <c r="A381" s="161" t="s">
        <v>429</v>
      </c>
      <c r="B381" s="162" t="s">
        <v>953</v>
      </c>
    </row>
    <row r="382" spans="1:2" ht="13.5">
      <c r="A382" s="161" t="s">
        <v>430</v>
      </c>
      <c r="B382" s="162" t="s">
        <v>183</v>
      </c>
    </row>
    <row r="383" spans="1:2" ht="13.5">
      <c r="A383" s="161" t="s">
        <v>431</v>
      </c>
      <c r="B383" s="162" t="s">
        <v>411</v>
      </c>
    </row>
    <row r="384" spans="1:2" ht="13.5">
      <c r="A384" s="161" t="s">
        <v>14</v>
      </c>
      <c r="B384" s="162" t="s">
        <v>411</v>
      </c>
    </row>
    <row r="385" spans="1:2" ht="13.5">
      <c r="A385" s="161" t="s">
        <v>439</v>
      </c>
      <c r="B385" s="162" t="s">
        <v>797</v>
      </c>
    </row>
    <row r="386" spans="1:2" ht="13.5">
      <c r="A386" s="161" t="s">
        <v>440</v>
      </c>
      <c r="B386" s="162" t="s">
        <v>797</v>
      </c>
    </row>
    <row r="387" spans="1:2" ht="13.5">
      <c r="A387" s="161" t="s">
        <v>222</v>
      </c>
      <c r="B387" s="162" t="s">
        <v>911</v>
      </c>
    </row>
    <row r="388" spans="1:2" ht="13.5">
      <c r="A388" s="161" t="s">
        <v>223</v>
      </c>
      <c r="B388" s="162" t="s">
        <v>410</v>
      </c>
    </row>
    <row r="389" spans="1:2" ht="13.5">
      <c r="A389" s="161" t="s">
        <v>224</v>
      </c>
      <c r="B389" s="162" t="s">
        <v>797</v>
      </c>
    </row>
    <row r="390" spans="1:2" ht="13.5">
      <c r="A390" s="161" t="s">
        <v>445</v>
      </c>
      <c r="B390" s="162" t="s">
        <v>183</v>
      </c>
    </row>
    <row r="391" spans="1:2" ht="13.5">
      <c r="A391" s="161" t="s">
        <v>446</v>
      </c>
      <c r="B391" s="162" t="s">
        <v>912</v>
      </c>
    </row>
    <row r="392" spans="1:2" ht="13.5">
      <c r="A392" s="161" t="s">
        <v>226</v>
      </c>
      <c r="B392" s="162" t="s">
        <v>953</v>
      </c>
    </row>
    <row r="393" spans="1:2" ht="13.5">
      <c r="A393" s="161" t="s">
        <v>227</v>
      </c>
      <c r="B393" s="162" t="s">
        <v>410</v>
      </c>
    </row>
    <row r="394" spans="1:2" ht="13.5">
      <c r="A394" s="161" t="s">
        <v>442</v>
      </c>
      <c r="B394" s="162" t="s">
        <v>183</v>
      </c>
    </row>
    <row r="395" spans="1:2" ht="13.5">
      <c r="A395" s="161" t="s">
        <v>354</v>
      </c>
      <c r="B395" s="162" t="s">
        <v>797</v>
      </c>
    </row>
    <row r="396" spans="1:2" ht="13.5">
      <c r="A396" s="161" t="s">
        <v>355</v>
      </c>
      <c r="B396" s="162" t="s">
        <v>953</v>
      </c>
    </row>
    <row r="397" spans="1:2" ht="13.5">
      <c r="A397" s="161" t="s">
        <v>356</v>
      </c>
      <c r="B397" s="162" t="s">
        <v>953</v>
      </c>
    </row>
    <row r="398" spans="1:2" ht="13.5">
      <c r="A398" s="161" t="s">
        <v>447</v>
      </c>
      <c r="B398" s="162" t="s">
        <v>953</v>
      </c>
    </row>
    <row r="399" spans="1:2" ht="13.5">
      <c r="A399" s="161" t="s">
        <v>436</v>
      </c>
      <c r="B399" s="162" t="s">
        <v>411</v>
      </c>
    </row>
    <row r="400" spans="1:2" ht="13.5">
      <c r="A400" s="161" t="s">
        <v>437</v>
      </c>
      <c r="B400" s="162" t="s">
        <v>411</v>
      </c>
    </row>
    <row r="401" spans="1:2" ht="13.5">
      <c r="A401" s="161" t="s">
        <v>438</v>
      </c>
      <c r="B401" s="162" t="s">
        <v>797</v>
      </c>
    </row>
    <row r="402" spans="1:2" ht="13.5">
      <c r="A402" s="161" t="s">
        <v>443</v>
      </c>
      <c r="B402" s="162" t="s">
        <v>912</v>
      </c>
    </row>
    <row r="403" spans="1:2" ht="13.5">
      <c r="A403" s="161" t="s">
        <v>444</v>
      </c>
      <c r="B403" s="162" t="s">
        <v>907</v>
      </c>
    </row>
    <row r="404" spans="1:2" ht="13.5">
      <c r="A404" s="161" t="s">
        <v>441</v>
      </c>
      <c r="B404" s="162" t="s">
        <v>184</v>
      </c>
    </row>
    <row r="405" spans="1:2" ht="13.5">
      <c r="A405" s="161" t="s">
        <v>566</v>
      </c>
      <c r="B405" s="162" t="s">
        <v>912</v>
      </c>
    </row>
    <row r="406" spans="1:2" ht="13.5">
      <c r="A406" s="161" t="s">
        <v>567</v>
      </c>
      <c r="B406" s="162" t="s">
        <v>411</v>
      </c>
    </row>
    <row r="407" spans="1:2" ht="13.5">
      <c r="A407" s="161" t="s">
        <v>367</v>
      </c>
      <c r="B407" s="162" t="s">
        <v>410</v>
      </c>
    </row>
    <row r="408" spans="1:2" ht="13.5">
      <c r="A408" s="161" t="s">
        <v>878</v>
      </c>
      <c r="B408" s="162" t="s">
        <v>411</v>
      </c>
    </row>
    <row r="409" spans="1:2" ht="13.5">
      <c r="A409" s="161" t="s">
        <v>357</v>
      </c>
      <c r="B409" s="162" t="s">
        <v>411</v>
      </c>
    </row>
    <row r="410" spans="1:2" ht="13.5">
      <c r="A410" s="161" t="s">
        <v>950</v>
      </c>
      <c r="B410" s="162" t="s">
        <v>411</v>
      </c>
    </row>
    <row r="411" spans="1:2" ht="13.5">
      <c r="A411" s="161" t="s">
        <v>358</v>
      </c>
      <c r="B411" s="162" t="s">
        <v>411</v>
      </c>
    </row>
    <row r="412" spans="1:2" ht="13.5">
      <c r="A412" s="161" t="s">
        <v>359</v>
      </c>
      <c r="B412" s="162" t="s">
        <v>411</v>
      </c>
    </row>
    <row r="413" spans="1:2" ht="13.5">
      <c r="A413" s="161" t="s">
        <v>360</v>
      </c>
      <c r="B413" s="162" t="s">
        <v>410</v>
      </c>
    </row>
    <row r="414" spans="1:2" ht="13.5">
      <c r="A414" s="161" t="s">
        <v>361</v>
      </c>
      <c r="B414" s="162" t="s">
        <v>410</v>
      </c>
    </row>
    <row r="415" spans="1:2" ht="13.5">
      <c r="A415" s="161" t="s">
        <v>362</v>
      </c>
      <c r="B415" s="162" t="s">
        <v>411</v>
      </c>
    </row>
    <row r="416" spans="1:2" ht="13.5">
      <c r="A416" s="161" t="s">
        <v>363</v>
      </c>
      <c r="B416" s="162" t="s">
        <v>953</v>
      </c>
    </row>
    <row r="417" spans="1:2" ht="13.5">
      <c r="A417" s="161" t="s">
        <v>364</v>
      </c>
      <c r="B417" s="162" t="s">
        <v>953</v>
      </c>
    </row>
    <row r="418" spans="1:2" ht="13.5">
      <c r="A418" s="161" t="s">
        <v>238</v>
      </c>
      <c r="B418" s="162" t="s">
        <v>797</v>
      </c>
    </row>
    <row r="419" spans="1:2" ht="13.5">
      <c r="A419" s="161" t="s">
        <v>41</v>
      </c>
      <c r="B419" s="162" t="s">
        <v>411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11.00390625" defaultRowHeight="12"/>
  <cols>
    <col min="1" max="1" width="29.50390625" style="0" customWidth="1"/>
    <col min="5" max="5" width="10.875" style="156" customWidth="1"/>
  </cols>
  <sheetData>
    <row r="1" spans="1:10" ht="12.75">
      <c r="A1" s="149" t="s">
        <v>106</v>
      </c>
      <c r="B1" s="149" t="s">
        <v>197</v>
      </c>
      <c r="C1" s="149" t="s">
        <v>198</v>
      </c>
      <c r="D1" s="166" t="s">
        <v>199</v>
      </c>
      <c r="E1" s="5" t="s">
        <v>947</v>
      </c>
      <c r="G1" s="145"/>
      <c r="H1" s="169"/>
      <c r="I1" s="169"/>
      <c r="J1" s="169"/>
    </row>
    <row r="2" spans="1:10" ht="12.75">
      <c r="A2" s="7" t="s">
        <v>94</v>
      </c>
      <c r="B2" s="6">
        <v>4</v>
      </c>
      <c r="C2" s="6">
        <v>4</v>
      </c>
      <c r="D2" s="167">
        <v>7</v>
      </c>
      <c r="E2" s="6">
        <v>1</v>
      </c>
      <c r="G2" s="170"/>
      <c r="H2" s="146"/>
      <c r="I2" s="146"/>
      <c r="J2" s="146"/>
    </row>
    <row r="3" spans="1:10" ht="12.75">
      <c r="A3" s="7" t="s">
        <v>336</v>
      </c>
      <c r="B3" s="6">
        <v>2</v>
      </c>
      <c r="C3" s="6">
        <v>7</v>
      </c>
      <c r="D3" s="167">
        <f>(B3+C3)/2</f>
        <v>4.5</v>
      </c>
      <c r="E3" s="6">
        <v>0</v>
      </c>
      <c r="G3" s="147"/>
      <c r="H3" s="146"/>
      <c r="I3" s="146"/>
      <c r="J3" s="146"/>
    </row>
    <row r="4" spans="1:10" ht="12.75">
      <c r="A4" s="7" t="s">
        <v>337</v>
      </c>
      <c r="B4" s="6">
        <v>4</v>
      </c>
      <c r="C4" s="6">
        <v>9</v>
      </c>
      <c r="D4" s="167">
        <f>(B4+C4)/2</f>
        <v>6.5</v>
      </c>
      <c r="E4" s="6">
        <v>0</v>
      </c>
      <c r="G4" s="147"/>
      <c r="H4" s="146"/>
      <c r="I4" s="146"/>
      <c r="J4" s="146"/>
    </row>
    <row r="5" spans="1:10" ht="12.75">
      <c r="A5" s="7" t="s">
        <v>546</v>
      </c>
      <c r="B5" s="6">
        <v>4</v>
      </c>
      <c r="C5" s="6">
        <v>10</v>
      </c>
      <c r="D5" s="167">
        <f>(B5+C5)/2</f>
        <v>7</v>
      </c>
      <c r="E5" s="6">
        <v>0</v>
      </c>
      <c r="G5" s="147"/>
      <c r="H5" s="146"/>
      <c r="I5" s="146"/>
      <c r="J5" s="146"/>
    </row>
    <row r="6" spans="1:10" ht="12.75">
      <c r="A6" s="154" t="s">
        <v>333</v>
      </c>
      <c r="B6" s="6">
        <v>2</v>
      </c>
      <c r="C6" s="6">
        <v>7</v>
      </c>
      <c r="D6" s="167">
        <f>(B6+C6)/2</f>
        <v>4.5</v>
      </c>
      <c r="E6" s="6">
        <v>0</v>
      </c>
      <c r="G6" s="147"/>
      <c r="H6" s="146"/>
      <c r="I6" s="146"/>
      <c r="J6" s="146"/>
    </row>
    <row r="7" spans="1:10" ht="12.75">
      <c r="A7" s="7" t="s">
        <v>153</v>
      </c>
      <c r="B7" s="6">
        <v>5</v>
      </c>
      <c r="C7" s="6">
        <v>3</v>
      </c>
      <c r="D7" s="6">
        <v>4</v>
      </c>
      <c r="E7" s="6">
        <v>2</v>
      </c>
      <c r="G7" s="147"/>
      <c r="H7" s="146"/>
      <c r="I7" s="146"/>
      <c r="J7" s="146"/>
    </row>
    <row r="8" spans="1:10" ht="12.75">
      <c r="A8" s="7" t="s">
        <v>154</v>
      </c>
      <c r="B8" s="6">
        <v>1</v>
      </c>
      <c r="C8" s="6">
        <v>1</v>
      </c>
      <c r="D8" s="6">
        <v>1</v>
      </c>
      <c r="E8" s="6">
        <v>0</v>
      </c>
      <c r="G8" s="147"/>
      <c r="H8" s="146"/>
      <c r="I8" s="146"/>
      <c r="J8" s="146"/>
    </row>
    <row r="9" spans="1:10" ht="12.75">
      <c r="A9" t="s">
        <v>535</v>
      </c>
      <c r="B9" s="156">
        <v>7</v>
      </c>
      <c r="C9" s="167">
        <f>B9*0.5</f>
        <v>3.5</v>
      </c>
      <c r="D9" s="168">
        <f>(B9+C9)/2</f>
        <v>5.25</v>
      </c>
      <c r="E9" s="156">
        <v>3</v>
      </c>
      <c r="G9" s="147"/>
      <c r="H9" s="146"/>
      <c r="I9" s="146"/>
      <c r="J9" s="146"/>
    </row>
    <row r="10" spans="1:10" ht="12.75">
      <c r="A10" s="7" t="s">
        <v>536</v>
      </c>
      <c r="B10" s="6">
        <v>8</v>
      </c>
      <c r="C10" s="167">
        <f>B10*0.5</f>
        <v>4</v>
      </c>
      <c r="D10" s="167">
        <f>(B10+C10)/2</f>
        <v>6</v>
      </c>
      <c r="E10" s="6">
        <v>3</v>
      </c>
      <c r="G10" s="147"/>
      <c r="H10" s="146"/>
      <c r="I10" s="146"/>
      <c r="J10" s="146"/>
    </row>
    <row r="11" spans="1:10" ht="12.75">
      <c r="A11" s="7" t="s">
        <v>537</v>
      </c>
      <c r="B11" s="6">
        <v>9</v>
      </c>
      <c r="C11" s="167">
        <f>B11*0.5</f>
        <v>4.5</v>
      </c>
      <c r="D11" s="167">
        <f>(B11+C11)/2</f>
        <v>6.75</v>
      </c>
      <c r="E11" s="6">
        <v>3</v>
      </c>
      <c r="G11" s="147"/>
      <c r="H11" s="146"/>
      <c r="I11" s="146"/>
      <c r="J11" s="146"/>
    </row>
    <row r="12" spans="1:10" ht="12.75">
      <c r="A12" s="154" t="s">
        <v>331</v>
      </c>
      <c r="B12" s="6">
        <v>1</v>
      </c>
      <c r="C12" s="6">
        <v>3</v>
      </c>
      <c r="D12" s="167">
        <f>(B12+C12)/2</f>
        <v>2</v>
      </c>
      <c r="E12" s="6">
        <v>0</v>
      </c>
      <c r="G12" s="147"/>
      <c r="H12" s="146"/>
      <c r="I12" s="146"/>
      <c r="J12" s="146"/>
    </row>
    <row r="13" spans="1:10" ht="12.75">
      <c r="A13" s="154" t="s">
        <v>332</v>
      </c>
      <c r="B13" s="6">
        <v>1</v>
      </c>
      <c r="C13" s="6">
        <v>5</v>
      </c>
      <c r="D13" s="167">
        <f>(B13+C13)/2</f>
        <v>3</v>
      </c>
      <c r="E13" s="6">
        <v>0</v>
      </c>
      <c r="G13" s="147"/>
      <c r="H13" s="146"/>
      <c r="I13" s="146"/>
      <c r="J13" s="146"/>
    </row>
    <row r="14" spans="1:10" ht="12.75">
      <c r="A14" s="7" t="s">
        <v>155</v>
      </c>
      <c r="B14" s="6">
        <v>3</v>
      </c>
      <c r="C14" s="6">
        <v>2</v>
      </c>
      <c r="D14" s="6">
        <v>3</v>
      </c>
      <c r="E14" s="6">
        <v>1</v>
      </c>
      <c r="G14" s="147"/>
      <c r="H14" s="146"/>
      <c r="I14" s="146"/>
      <c r="J14" s="146"/>
    </row>
    <row r="15" spans="1:10" ht="12.75">
      <c r="A15" s="7" t="s">
        <v>50</v>
      </c>
      <c r="B15" s="6">
        <v>7</v>
      </c>
      <c r="C15" s="6">
        <v>16</v>
      </c>
      <c r="D15" s="167">
        <f>(B15+C15)/2</f>
        <v>11.5</v>
      </c>
      <c r="E15" s="6">
        <v>4</v>
      </c>
      <c r="G15" s="147"/>
      <c r="H15" s="146"/>
      <c r="I15" s="146"/>
      <c r="J15" s="146"/>
    </row>
    <row r="16" spans="1:10" ht="12.75">
      <c r="A16" s="155" t="s">
        <v>42</v>
      </c>
      <c r="B16" s="156">
        <v>7</v>
      </c>
      <c r="C16" s="167">
        <f>B16*0.5</f>
        <v>3.5</v>
      </c>
      <c r="D16" s="168">
        <f aca="true" t="shared" si="0" ref="D16:D24">(B16+C16)/2</f>
        <v>5.25</v>
      </c>
      <c r="E16" s="156">
        <v>2</v>
      </c>
      <c r="G16" s="147"/>
      <c r="H16" s="146"/>
      <c r="I16" s="146"/>
      <c r="J16" s="146"/>
    </row>
    <row r="17" spans="1:10" ht="12.75">
      <c r="A17" t="s">
        <v>43</v>
      </c>
      <c r="B17" s="156">
        <v>6</v>
      </c>
      <c r="C17" s="167">
        <f>B17*0.5</f>
        <v>3</v>
      </c>
      <c r="D17" s="168">
        <f t="shared" si="0"/>
        <v>4.5</v>
      </c>
      <c r="E17" s="156">
        <v>1</v>
      </c>
      <c r="G17" s="147"/>
      <c r="H17" s="146"/>
      <c r="I17" s="146"/>
      <c r="J17" s="146"/>
    </row>
    <row r="18" spans="1:10" ht="12.75">
      <c r="A18" s="155" t="s">
        <v>44</v>
      </c>
      <c r="B18" s="6">
        <v>1</v>
      </c>
      <c r="C18" s="167">
        <f>B18*0.5</f>
        <v>0.5</v>
      </c>
      <c r="D18" s="168">
        <f t="shared" si="0"/>
        <v>0.75</v>
      </c>
      <c r="E18" s="156">
        <v>0</v>
      </c>
      <c r="G18" s="147"/>
      <c r="H18" s="146"/>
      <c r="I18" s="146"/>
      <c r="J18" s="146"/>
    </row>
    <row r="19" spans="1:10" ht="12.75">
      <c r="A19" s="7" t="s">
        <v>957</v>
      </c>
      <c r="B19" s="6">
        <v>6</v>
      </c>
      <c r="C19" s="6">
        <v>15</v>
      </c>
      <c r="D19" s="167">
        <f t="shared" si="0"/>
        <v>10.5</v>
      </c>
      <c r="E19" s="6">
        <v>3</v>
      </c>
      <c r="G19" s="147"/>
      <c r="H19" s="146"/>
      <c r="I19" s="146"/>
      <c r="J19" s="146"/>
    </row>
    <row r="20" spans="1:10" ht="12.75">
      <c r="A20" s="155" t="s">
        <v>45</v>
      </c>
      <c r="B20" s="156">
        <v>4</v>
      </c>
      <c r="C20" s="167">
        <f>B20*0.5</f>
        <v>2</v>
      </c>
      <c r="D20" s="168">
        <f t="shared" si="0"/>
        <v>3</v>
      </c>
      <c r="E20" s="156">
        <v>1</v>
      </c>
      <c r="G20" s="147"/>
      <c r="H20" s="146"/>
      <c r="I20" s="146"/>
      <c r="J20" s="146"/>
    </row>
    <row r="21" spans="1:10" ht="12.75">
      <c r="A21" t="s">
        <v>46</v>
      </c>
      <c r="B21" s="156">
        <v>5</v>
      </c>
      <c r="C21" s="167">
        <f>B21*0.5</f>
        <v>2.5</v>
      </c>
      <c r="D21" s="168">
        <f t="shared" si="0"/>
        <v>3.75</v>
      </c>
      <c r="E21" s="156">
        <v>1</v>
      </c>
      <c r="G21" s="147"/>
      <c r="H21" s="146"/>
      <c r="I21" s="146"/>
      <c r="J21" s="146"/>
    </row>
    <row r="22" spans="1:10" ht="12.75">
      <c r="A22" s="7" t="s">
        <v>850</v>
      </c>
      <c r="B22" s="6">
        <v>9</v>
      </c>
      <c r="C22" s="6">
        <v>16</v>
      </c>
      <c r="D22" s="167">
        <f t="shared" si="0"/>
        <v>12.5</v>
      </c>
      <c r="E22" s="6">
        <v>4</v>
      </c>
      <c r="G22" s="147"/>
      <c r="H22" s="146"/>
      <c r="I22" s="146"/>
      <c r="J22" s="146"/>
    </row>
    <row r="23" spans="1:10" ht="12.75">
      <c r="A23" s="7" t="s">
        <v>150</v>
      </c>
      <c r="B23" s="6">
        <v>9</v>
      </c>
      <c r="C23" s="6">
        <v>14</v>
      </c>
      <c r="D23" s="167">
        <f t="shared" si="0"/>
        <v>11.5</v>
      </c>
      <c r="E23" s="6">
        <v>0</v>
      </c>
      <c r="G23" s="147"/>
      <c r="H23" s="146"/>
      <c r="I23" s="146"/>
      <c r="J23" s="146"/>
    </row>
    <row r="24" spans="1:5" ht="12.75">
      <c r="A24" s="7" t="s">
        <v>211</v>
      </c>
      <c r="B24" s="6">
        <v>6</v>
      </c>
      <c r="C24" s="6">
        <v>15</v>
      </c>
      <c r="D24" s="167">
        <f t="shared" si="0"/>
        <v>10.5</v>
      </c>
      <c r="E24" s="6">
        <v>4</v>
      </c>
    </row>
    <row r="25" spans="1:5" ht="12.75">
      <c r="A25" s="154" t="s">
        <v>334</v>
      </c>
      <c r="B25" s="6">
        <v>3</v>
      </c>
      <c r="C25" s="6">
        <v>9</v>
      </c>
      <c r="D25" s="167">
        <f>(B25+C25)/2</f>
        <v>6</v>
      </c>
      <c r="E25" s="6">
        <v>0</v>
      </c>
    </row>
    <row r="26" spans="1:5" ht="12.75">
      <c r="A26" s="7" t="s">
        <v>152</v>
      </c>
      <c r="B26" s="6">
        <v>6</v>
      </c>
      <c r="C26" s="6">
        <v>8</v>
      </c>
      <c r="D26" s="167">
        <v>5</v>
      </c>
      <c r="E26" s="6">
        <v>0</v>
      </c>
    </row>
    <row r="27" spans="1:5" ht="12.75">
      <c r="A27" s="7" t="s">
        <v>623</v>
      </c>
      <c r="B27" s="6">
        <v>12</v>
      </c>
      <c r="C27" s="6">
        <v>10</v>
      </c>
      <c r="D27" s="167">
        <v>11</v>
      </c>
      <c r="E27" s="6">
        <v>0</v>
      </c>
    </row>
    <row r="28" spans="1:5" ht="12.75">
      <c r="A28" s="154" t="s">
        <v>335</v>
      </c>
      <c r="B28" s="6">
        <v>4</v>
      </c>
      <c r="C28" s="6">
        <v>10</v>
      </c>
      <c r="D28" s="167">
        <f>(B28+C28)/2</f>
        <v>7</v>
      </c>
      <c r="E28" s="6">
        <v>1</v>
      </c>
    </row>
    <row r="29" spans="1:5" ht="12.75">
      <c r="A29" s="155" t="s">
        <v>207</v>
      </c>
      <c r="B29" s="6">
        <v>0</v>
      </c>
      <c r="C29" s="167">
        <f>B29*0.5</f>
        <v>0</v>
      </c>
      <c r="D29" s="168">
        <f>(B29+C29)/2</f>
        <v>0</v>
      </c>
      <c r="E29" s="156">
        <v>0</v>
      </c>
    </row>
    <row r="30" spans="1:5" ht="12.75">
      <c r="A30" s="7" t="s">
        <v>319</v>
      </c>
      <c r="B30" s="6">
        <v>2</v>
      </c>
      <c r="C30" s="6">
        <v>7</v>
      </c>
      <c r="D30" s="167">
        <f>(B30+C30)/2</f>
        <v>4.5</v>
      </c>
      <c r="E30" s="6">
        <v>1</v>
      </c>
    </row>
    <row r="31" spans="1:5" ht="12.75">
      <c r="A31" s="155" t="s">
        <v>208</v>
      </c>
      <c r="B31" s="6">
        <v>2</v>
      </c>
      <c r="C31" s="167">
        <f>B31*0.5</f>
        <v>1</v>
      </c>
      <c r="D31" s="168">
        <f aca="true" t="shared" si="1" ref="D31:D62">(B31+C31)/2</f>
        <v>1.5</v>
      </c>
      <c r="E31" s="156">
        <v>0</v>
      </c>
    </row>
    <row r="32" spans="1:5" ht="12.75">
      <c r="A32" t="s">
        <v>209</v>
      </c>
      <c r="B32" s="156">
        <v>3</v>
      </c>
      <c r="C32" s="167">
        <f>B32*0.5</f>
        <v>1.5</v>
      </c>
      <c r="D32" s="168">
        <f t="shared" si="1"/>
        <v>2.25</v>
      </c>
      <c r="E32" s="156">
        <v>0</v>
      </c>
    </row>
    <row r="33" spans="1:5" ht="12.75">
      <c r="A33" s="7" t="s">
        <v>421</v>
      </c>
      <c r="B33" s="6">
        <v>7</v>
      </c>
      <c r="C33" s="6">
        <v>10</v>
      </c>
      <c r="D33" s="167">
        <f t="shared" si="1"/>
        <v>8.5</v>
      </c>
      <c r="E33" s="6">
        <v>2</v>
      </c>
    </row>
    <row r="34" spans="1:5" ht="12.75">
      <c r="A34" s="7" t="s">
        <v>51</v>
      </c>
      <c r="B34" s="6">
        <v>4</v>
      </c>
      <c r="C34" s="6">
        <v>10</v>
      </c>
      <c r="D34" s="167">
        <f t="shared" si="1"/>
        <v>7</v>
      </c>
      <c r="E34" s="6">
        <v>2</v>
      </c>
    </row>
    <row r="35" spans="1:5" ht="12.75">
      <c r="A35" s="7" t="s">
        <v>250</v>
      </c>
      <c r="B35" s="6">
        <v>3</v>
      </c>
      <c r="C35" s="6">
        <v>9</v>
      </c>
      <c r="D35" s="167">
        <f t="shared" si="1"/>
        <v>6</v>
      </c>
      <c r="E35" s="6">
        <v>1</v>
      </c>
    </row>
    <row r="36" spans="1:5" ht="12.75">
      <c r="A36" s="7" t="s">
        <v>532</v>
      </c>
      <c r="B36" s="6">
        <v>4</v>
      </c>
      <c r="C36" s="6">
        <v>10</v>
      </c>
      <c r="D36" s="167">
        <f t="shared" si="1"/>
        <v>7</v>
      </c>
      <c r="E36" s="6">
        <v>2</v>
      </c>
    </row>
    <row r="37" spans="1:5" ht="12.75">
      <c r="A37" s="7" t="s">
        <v>629</v>
      </c>
      <c r="B37" s="6">
        <v>8</v>
      </c>
      <c r="C37" s="6">
        <v>12</v>
      </c>
      <c r="D37" s="167">
        <f t="shared" si="1"/>
        <v>10</v>
      </c>
      <c r="E37" s="6">
        <v>3</v>
      </c>
    </row>
    <row r="38" spans="1:5" ht="12.75">
      <c r="A38" s="7" t="s">
        <v>210</v>
      </c>
      <c r="B38" s="6">
        <v>5</v>
      </c>
      <c r="C38" s="6">
        <v>12</v>
      </c>
      <c r="D38" s="167">
        <f t="shared" si="1"/>
        <v>8.5</v>
      </c>
      <c r="E38" s="6">
        <v>3</v>
      </c>
    </row>
    <row r="39" spans="1:5" ht="12.75">
      <c r="A39" s="7" t="s">
        <v>92</v>
      </c>
      <c r="B39" s="6">
        <v>5</v>
      </c>
      <c r="C39" s="6">
        <v>5</v>
      </c>
      <c r="D39" s="167">
        <v>2</v>
      </c>
      <c r="E39" s="6">
        <v>1</v>
      </c>
    </row>
    <row r="40" spans="1:5" ht="12.75">
      <c r="A40" s="155" t="s">
        <v>419</v>
      </c>
      <c r="B40" s="156">
        <v>7</v>
      </c>
      <c r="C40" s="167">
        <f>B40*0.5</f>
        <v>3.5</v>
      </c>
      <c r="D40" s="168">
        <f t="shared" si="1"/>
        <v>5.25</v>
      </c>
      <c r="E40" s="156">
        <v>1</v>
      </c>
    </row>
    <row r="41" spans="1:5" ht="12.75">
      <c r="A41" s="155" t="s">
        <v>420</v>
      </c>
      <c r="B41" s="156">
        <v>8</v>
      </c>
      <c r="C41" s="167">
        <f>B41*0.5</f>
        <v>4</v>
      </c>
      <c r="D41" s="168">
        <f t="shared" si="1"/>
        <v>6</v>
      </c>
      <c r="E41" s="156">
        <v>1</v>
      </c>
    </row>
    <row r="42" spans="1:5" ht="12.75">
      <c r="A42" s="7" t="s">
        <v>422</v>
      </c>
      <c r="B42" s="6">
        <v>0</v>
      </c>
      <c r="C42" s="6">
        <v>0</v>
      </c>
      <c r="D42" s="6">
        <v>0</v>
      </c>
      <c r="E42" s="6">
        <v>0</v>
      </c>
    </row>
    <row r="43" spans="1:5" ht="12.75">
      <c r="A43" t="s">
        <v>418</v>
      </c>
      <c r="B43" s="156">
        <v>2</v>
      </c>
      <c r="C43" s="167">
        <f>B43*0.5</f>
        <v>1</v>
      </c>
      <c r="D43" s="168">
        <f t="shared" si="1"/>
        <v>1.5</v>
      </c>
      <c r="E43" s="156">
        <v>0</v>
      </c>
    </row>
    <row r="44" spans="1:5" ht="12.75">
      <c r="A44" t="s">
        <v>48</v>
      </c>
      <c r="B44" s="156">
        <v>4</v>
      </c>
      <c r="C44" s="167">
        <f>B44*0.5</f>
        <v>2</v>
      </c>
      <c r="D44" s="168">
        <f t="shared" si="1"/>
        <v>3</v>
      </c>
      <c r="E44" s="156">
        <v>0</v>
      </c>
    </row>
    <row r="45" spans="1:5" ht="12.75">
      <c r="A45" s="7" t="s">
        <v>738</v>
      </c>
      <c r="B45" s="6">
        <v>6</v>
      </c>
      <c r="C45" s="6">
        <v>12</v>
      </c>
      <c r="D45" s="167">
        <f t="shared" si="1"/>
        <v>9</v>
      </c>
      <c r="E45" s="6">
        <v>3</v>
      </c>
    </row>
    <row r="46" spans="1:5" ht="12.75">
      <c r="A46" s="7" t="s">
        <v>538</v>
      </c>
      <c r="B46" s="6">
        <v>8</v>
      </c>
      <c r="C46" s="167">
        <f>B46*0.5</f>
        <v>4</v>
      </c>
      <c r="D46" s="167">
        <f t="shared" si="1"/>
        <v>6</v>
      </c>
      <c r="E46" s="6">
        <v>4</v>
      </c>
    </row>
    <row r="47" spans="1:5" ht="12.75">
      <c r="A47" s="7" t="s">
        <v>539</v>
      </c>
      <c r="B47" s="6">
        <v>9</v>
      </c>
      <c r="C47" s="167">
        <f>B47*0.5</f>
        <v>4.5</v>
      </c>
      <c r="D47" s="167">
        <f t="shared" si="1"/>
        <v>6.75</v>
      </c>
      <c r="E47" s="6">
        <v>4</v>
      </c>
    </row>
    <row r="48" spans="1:5" ht="12.75">
      <c r="A48" s="7" t="s">
        <v>540</v>
      </c>
      <c r="B48" s="6">
        <v>10</v>
      </c>
      <c r="C48" s="167">
        <f>B48*0.5</f>
        <v>5</v>
      </c>
      <c r="D48" s="167">
        <f t="shared" si="1"/>
        <v>7.5</v>
      </c>
      <c r="E48" s="6">
        <v>4</v>
      </c>
    </row>
    <row r="49" spans="1:5" ht="12.75">
      <c r="A49" s="7" t="s">
        <v>105</v>
      </c>
      <c r="B49" s="6">
        <v>30</v>
      </c>
      <c r="C49" s="6">
        <v>30</v>
      </c>
      <c r="D49" s="167">
        <v>30</v>
      </c>
      <c r="E49" s="6">
        <v>0</v>
      </c>
    </row>
    <row r="50" spans="1:5" ht="12.75">
      <c r="A50" s="7" t="s">
        <v>93</v>
      </c>
      <c r="B50" s="6">
        <v>0</v>
      </c>
      <c r="C50" s="6">
        <v>0</v>
      </c>
      <c r="D50" s="167">
        <v>8</v>
      </c>
      <c r="E50" s="6">
        <v>1</v>
      </c>
    </row>
    <row r="51" spans="1:5" ht="12.75">
      <c r="A51" s="7" t="s">
        <v>1185</v>
      </c>
      <c r="B51" s="6">
        <v>4</v>
      </c>
      <c r="C51" s="6">
        <v>9</v>
      </c>
      <c r="D51" s="167">
        <f t="shared" si="1"/>
        <v>6.5</v>
      </c>
      <c r="E51" s="6">
        <v>1</v>
      </c>
    </row>
    <row r="52" spans="1:5" ht="12.75">
      <c r="A52" s="7" t="s">
        <v>156</v>
      </c>
      <c r="B52" s="6">
        <v>3</v>
      </c>
      <c r="C52" s="6">
        <v>2</v>
      </c>
      <c r="D52" s="6">
        <v>3</v>
      </c>
      <c r="E52" s="6">
        <v>1</v>
      </c>
    </row>
    <row r="53" spans="1:5" ht="12.75">
      <c r="A53" t="s">
        <v>104</v>
      </c>
      <c r="B53" s="156">
        <v>6</v>
      </c>
      <c r="C53" s="167">
        <f>B53*0.5</f>
        <v>3</v>
      </c>
      <c r="D53" s="168">
        <f>(B53+C53)/2</f>
        <v>4.5</v>
      </c>
      <c r="E53" s="156">
        <v>2</v>
      </c>
    </row>
    <row r="54" spans="1:5" ht="12.75">
      <c r="A54" t="s">
        <v>318</v>
      </c>
      <c r="B54" s="156">
        <v>7</v>
      </c>
      <c r="C54" s="167">
        <f>B54*0.5</f>
        <v>3.5</v>
      </c>
      <c r="D54" s="168">
        <f>(B54+C54)/2</f>
        <v>5.25</v>
      </c>
      <c r="E54" s="156">
        <v>2</v>
      </c>
    </row>
    <row r="55" spans="1:5" ht="12.75">
      <c r="A55" t="s">
        <v>664</v>
      </c>
      <c r="B55" s="156">
        <v>8</v>
      </c>
      <c r="C55" s="167">
        <f>B55*0.5</f>
        <v>4</v>
      </c>
      <c r="D55" s="168">
        <f>(B55+C55)/2</f>
        <v>6</v>
      </c>
      <c r="E55" s="156">
        <v>2</v>
      </c>
    </row>
    <row r="56" spans="1:5" ht="12.75">
      <c r="A56" s="7" t="s">
        <v>157</v>
      </c>
      <c r="B56" s="6">
        <v>5</v>
      </c>
      <c r="C56" s="6">
        <v>12</v>
      </c>
      <c r="D56" s="6">
        <v>9</v>
      </c>
      <c r="E56" s="6">
        <v>2</v>
      </c>
    </row>
    <row r="57" spans="1:5" ht="12.75">
      <c r="A57" s="7" t="s">
        <v>99</v>
      </c>
      <c r="B57" s="6">
        <v>3</v>
      </c>
      <c r="C57" s="6">
        <v>10</v>
      </c>
      <c r="D57" s="6">
        <v>7</v>
      </c>
      <c r="E57" s="6">
        <v>1</v>
      </c>
    </row>
    <row r="58" spans="1:5" ht="12.75">
      <c r="A58" s="155" t="s">
        <v>49</v>
      </c>
      <c r="B58" s="156">
        <v>5</v>
      </c>
      <c r="C58" s="167">
        <f>B58*0.5</f>
        <v>2.5</v>
      </c>
      <c r="D58" s="168">
        <f>(B58+C58)/2</f>
        <v>3.75</v>
      </c>
      <c r="E58" s="156">
        <v>1</v>
      </c>
    </row>
    <row r="59" spans="1:5" ht="12.75">
      <c r="A59" s="155" t="s">
        <v>103</v>
      </c>
      <c r="B59" s="156">
        <v>6</v>
      </c>
      <c r="C59" s="167">
        <f>B59*0.5</f>
        <v>3</v>
      </c>
      <c r="D59" s="168">
        <f>(B59+C59)/2</f>
        <v>4.5</v>
      </c>
      <c r="E59" s="156">
        <v>1</v>
      </c>
    </row>
    <row r="60" spans="1:5" ht="12.75">
      <c r="A60" s="7" t="s">
        <v>151</v>
      </c>
      <c r="B60" s="6">
        <v>6</v>
      </c>
      <c r="C60" s="6">
        <v>15</v>
      </c>
      <c r="D60" s="167">
        <f t="shared" si="1"/>
        <v>10.5</v>
      </c>
      <c r="E60" s="6">
        <v>0</v>
      </c>
    </row>
    <row r="61" spans="1:5" ht="12.75">
      <c r="A61" s="7" t="s">
        <v>359</v>
      </c>
      <c r="B61" s="6">
        <v>5</v>
      </c>
      <c r="C61" s="6">
        <v>5</v>
      </c>
      <c r="D61" s="167">
        <v>5</v>
      </c>
      <c r="E61" s="6">
        <v>2</v>
      </c>
    </row>
    <row r="62" spans="1:5" ht="12.75">
      <c r="A62" s="7" t="s">
        <v>553</v>
      </c>
      <c r="B62" s="6">
        <v>8</v>
      </c>
      <c r="C62" s="6">
        <v>14</v>
      </c>
      <c r="D62" s="167">
        <f t="shared" si="1"/>
        <v>11</v>
      </c>
      <c r="E62" s="6">
        <v>1</v>
      </c>
    </row>
    <row r="63" spans="1:5" ht="12.75">
      <c r="A63" s="7"/>
      <c r="B63" s="6"/>
      <c r="C63" s="6"/>
      <c r="D63" s="6"/>
      <c r="E63" s="6"/>
    </row>
    <row r="64" spans="1:5" ht="12.75">
      <c r="A64" s="7"/>
      <c r="B64" s="6"/>
      <c r="C64" s="6"/>
      <c r="D64" s="6"/>
      <c r="E64" s="6"/>
    </row>
    <row r="68" spans="1:4" ht="12.75">
      <c r="A68" s="147"/>
      <c r="B68" s="146"/>
      <c r="C68" s="146"/>
      <c r="D68" s="146"/>
    </row>
    <row r="69" spans="1:4" ht="12.75">
      <c r="A69" s="147"/>
      <c r="B69" s="146"/>
      <c r="C69" s="146"/>
      <c r="D69" s="14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1" sqref="A1"/>
    </sheetView>
  </sheetViews>
  <sheetFormatPr defaultColWidth="11.00390625" defaultRowHeight="12"/>
  <cols>
    <col min="1" max="1" width="18.625" style="0" customWidth="1"/>
  </cols>
  <sheetData>
    <row r="1" spans="1:6" ht="12.75">
      <c r="A1" s="149" t="s">
        <v>751</v>
      </c>
      <c r="B1" s="5" t="s">
        <v>948</v>
      </c>
      <c r="C1" s="5" t="s">
        <v>124</v>
      </c>
      <c r="D1" s="5" t="s">
        <v>951</v>
      </c>
      <c r="E1" s="149" t="s">
        <v>800</v>
      </c>
      <c r="F1" s="5" t="s">
        <v>1231</v>
      </c>
    </row>
    <row r="2" spans="1:6" ht="12.75">
      <c r="A2" t="s">
        <v>752</v>
      </c>
      <c r="B2" s="156">
        <v>2</v>
      </c>
      <c r="C2" s="168">
        <v>6</v>
      </c>
      <c r="D2" s="168">
        <v>2</v>
      </c>
      <c r="E2">
        <v>2</v>
      </c>
      <c r="F2" s="156">
        <v>4</v>
      </c>
    </row>
    <row r="3" spans="1:6" ht="12.75">
      <c r="A3" t="s">
        <v>1081</v>
      </c>
      <c r="B3" s="156">
        <v>2</v>
      </c>
      <c r="C3" s="168">
        <v>4</v>
      </c>
      <c r="D3" s="168">
        <v>2</v>
      </c>
      <c r="E3">
        <v>4</v>
      </c>
      <c r="F3" s="156">
        <v>4</v>
      </c>
    </row>
    <row r="4" spans="1:6" ht="12.75">
      <c r="A4" t="s">
        <v>972</v>
      </c>
      <c r="B4" s="156">
        <v>1</v>
      </c>
      <c r="C4" s="168">
        <v>2</v>
      </c>
      <c r="D4" s="168">
        <v>1</v>
      </c>
      <c r="E4">
        <v>8</v>
      </c>
      <c r="F4" s="156">
        <v>2</v>
      </c>
    </row>
    <row r="5" spans="1:6" ht="12.75">
      <c r="A5" t="s">
        <v>971</v>
      </c>
      <c r="B5" s="156">
        <v>1</v>
      </c>
      <c r="C5" s="168">
        <v>2</v>
      </c>
      <c r="D5" s="168">
        <v>1</v>
      </c>
      <c r="E5">
        <v>8</v>
      </c>
      <c r="F5" s="156">
        <v>2</v>
      </c>
    </row>
    <row r="6" spans="1:6" ht="12.75">
      <c r="A6" t="s">
        <v>973</v>
      </c>
      <c r="B6" s="156">
        <v>2</v>
      </c>
      <c r="C6" s="168">
        <v>4</v>
      </c>
      <c r="D6" s="168">
        <v>2</v>
      </c>
      <c r="E6">
        <v>4</v>
      </c>
      <c r="F6" s="156">
        <v>4</v>
      </c>
    </row>
    <row r="7" spans="1:6" ht="12.75">
      <c r="A7" t="s">
        <v>974</v>
      </c>
      <c r="B7" s="156">
        <v>2</v>
      </c>
      <c r="C7" s="168">
        <v>3</v>
      </c>
      <c r="D7" s="168">
        <v>2</v>
      </c>
      <c r="E7">
        <v>10</v>
      </c>
      <c r="F7" s="156">
        <v>3</v>
      </c>
    </row>
    <row r="8" spans="1:6" ht="12.75">
      <c r="A8" t="s">
        <v>667</v>
      </c>
      <c r="B8" s="156">
        <v>1</v>
      </c>
      <c r="C8" s="168">
        <v>4</v>
      </c>
      <c r="D8" s="168">
        <v>2</v>
      </c>
      <c r="E8">
        <v>5</v>
      </c>
      <c r="F8" s="156">
        <v>4</v>
      </c>
    </row>
    <row r="9" spans="1:6" ht="12.75">
      <c r="A9" t="s">
        <v>668</v>
      </c>
      <c r="B9" s="156">
        <v>2</v>
      </c>
      <c r="C9" s="168">
        <v>6</v>
      </c>
      <c r="D9" s="168">
        <v>2</v>
      </c>
      <c r="E9">
        <v>5</v>
      </c>
      <c r="F9" s="156">
        <v>3</v>
      </c>
    </row>
    <row r="10" spans="1:6" ht="12.75">
      <c r="A10" t="s">
        <v>670</v>
      </c>
      <c r="B10" s="156">
        <v>2</v>
      </c>
      <c r="C10" s="168">
        <v>4</v>
      </c>
      <c r="D10" s="168">
        <v>2</v>
      </c>
      <c r="E10">
        <v>5</v>
      </c>
      <c r="F10" s="156">
        <v>3</v>
      </c>
    </row>
    <row r="11" spans="1:6" ht="12.75">
      <c r="A11" t="s">
        <v>643</v>
      </c>
      <c r="B11" s="156">
        <v>1</v>
      </c>
      <c r="C11" s="168">
        <v>3</v>
      </c>
      <c r="D11" s="168">
        <v>1</v>
      </c>
      <c r="E11">
        <v>12</v>
      </c>
      <c r="F11" s="156">
        <v>1</v>
      </c>
    </row>
    <row r="12" spans="1:6" ht="12.75">
      <c r="A12" t="s">
        <v>642</v>
      </c>
      <c r="B12" s="156">
        <v>1</v>
      </c>
      <c r="C12" s="168">
        <v>2</v>
      </c>
      <c r="D12" s="168">
        <v>0</v>
      </c>
      <c r="E12">
        <v>15</v>
      </c>
      <c r="F12" s="156">
        <v>2</v>
      </c>
    </row>
    <row r="13" spans="1:6" ht="12.75">
      <c r="A13" t="s">
        <v>644</v>
      </c>
      <c r="B13" s="156">
        <v>2</v>
      </c>
      <c r="C13" s="168">
        <v>5</v>
      </c>
      <c r="D13" s="168">
        <v>3</v>
      </c>
      <c r="E13">
        <v>0</v>
      </c>
      <c r="F13" s="156">
        <v>5</v>
      </c>
    </row>
    <row r="14" spans="1:6" ht="12.75">
      <c r="A14" t="s">
        <v>645</v>
      </c>
      <c r="B14" s="156">
        <v>1</v>
      </c>
      <c r="C14" s="168">
        <v>1</v>
      </c>
      <c r="D14" s="168">
        <v>0</v>
      </c>
      <c r="E14">
        <v>20</v>
      </c>
      <c r="F14" s="156">
        <v>1</v>
      </c>
    </row>
    <row r="15" spans="1:6" ht="12.75">
      <c r="A15" t="s">
        <v>646</v>
      </c>
      <c r="B15" s="156">
        <v>2</v>
      </c>
      <c r="C15" s="168">
        <v>7</v>
      </c>
      <c r="D15" s="168">
        <v>3</v>
      </c>
      <c r="E15">
        <v>0</v>
      </c>
      <c r="F15" s="156">
        <v>5</v>
      </c>
    </row>
    <row r="16" spans="1:6" ht="12.75">
      <c r="A16" t="s">
        <v>432</v>
      </c>
      <c r="B16" s="156">
        <v>2</v>
      </c>
      <c r="C16" s="168">
        <v>5</v>
      </c>
      <c r="D16" s="168">
        <v>3</v>
      </c>
      <c r="E16">
        <v>0</v>
      </c>
      <c r="F16" s="156">
        <v>3</v>
      </c>
    </row>
    <row r="17" spans="1:6" ht="12.75">
      <c r="A17" t="s">
        <v>433</v>
      </c>
      <c r="B17" s="156">
        <v>1</v>
      </c>
      <c r="C17" s="168">
        <v>2</v>
      </c>
      <c r="D17" s="168">
        <v>0</v>
      </c>
      <c r="E17">
        <v>15</v>
      </c>
      <c r="F17" s="156">
        <v>1</v>
      </c>
    </row>
    <row r="18" spans="1:6" ht="12.75">
      <c r="A18" t="s">
        <v>434</v>
      </c>
      <c r="B18" s="156">
        <v>1</v>
      </c>
      <c r="C18" s="168">
        <v>2</v>
      </c>
      <c r="D18" s="168">
        <v>0</v>
      </c>
      <c r="E18">
        <v>20</v>
      </c>
      <c r="F18" s="156">
        <v>0</v>
      </c>
    </row>
    <row r="19" spans="1:6" ht="12.75">
      <c r="A19" t="s">
        <v>1177</v>
      </c>
      <c r="B19" s="156">
        <v>1</v>
      </c>
      <c r="C19" s="168">
        <v>4</v>
      </c>
      <c r="D19" s="168">
        <v>2</v>
      </c>
      <c r="E19">
        <v>8</v>
      </c>
      <c r="F19" s="156">
        <v>3</v>
      </c>
    </row>
    <row r="20" spans="1:6" ht="12.75">
      <c r="A20" t="s">
        <v>435</v>
      </c>
      <c r="B20" s="156">
        <v>1</v>
      </c>
      <c r="C20" s="168">
        <v>4</v>
      </c>
      <c r="D20" s="168">
        <v>3</v>
      </c>
      <c r="E20">
        <v>10</v>
      </c>
      <c r="F20" s="156">
        <v>4</v>
      </c>
    </row>
    <row r="21" spans="1:6" ht="12.75">
      <c r="A21" t="s">
        <v>239</v>
      </c>
      <c r="B21" s="156">
        <v>1</v>
      </c>
      <c r="C21" s="168">
        <v>2</v>
      </c>
      <c r="D21" s="168">
        <v>0</v>
      </c>
      <c r="E21">
        <v>15</v>
      </c>
      <c r="F21" s="156">
        <v>1</v>
      </c>
    </row>
    <row r="22" spans="1:6" ht="12.75">
      <c r="A22" t="s">
        <v>240</v>
      </c>
      <c r="B22" s="156">
        <v>2</v>
      </c>
      <c r="C22" s="168">
        <v>6</v>
      </c>
      <c r="D22" s="168">
        <v>2</v>
      </c>
      <c r="E22">
        <v>5</v>
      </c>
      <c r="F22" s="156">
        <v>4</v>
      </c>
    </row>
    <row r="23" spans="1:6" ht="12.75">
      <c r="A23" t="s">
        <v>241</v>
      </c>
      <c r="B23" s="156">
        <v>1</v>
      </c>
      <c r="C23" s="168">
        <v>3</v>
      </c>
      <c r="D23" s="168">
        <v>1</v>
      </c>
      <c r="E23">
        <v>10</v>
      </c>
      <c r="F23" s="156">
        <v>2</v>
      </c>
    </row>
    <row r="24" spans="1:6" ht="12.75">
      <c r="A24" t="s">
        <v>242</v>
      </c>
      <c r="B24" s="156">
        <v>1</v>
      </c>
      <c r="C24" s="168">
        <v>3</v>
      </c>
      <c r="D24" s="168">
        <v>1</v>
      </c>
      <c r="E24">
        <v>10</v>
      </c>
      <c r="F24" s="156">
        <v>2</v>
      </c>
    </row>
    <row r="25" spans="1:6" ht="12.75">
      <c r="A25" t="s">
        <v>90</v>
      </c>
      <c r="B25" s="156">
        <v>1</v>
      </c>
      <c r="C25" s="168">
        <v>4</v>
      </c>
      <c r="D25" s="168">
        <v>1</v>
      </c>
      <c r="E25">
        <v>8</v>
      </c>
      <c r="F25" s="156">
        <v>3</v>
      </c>
    </row>
    <row r="26" spans="1:6" ht="12.75">
      <c r="A26" t="s">
        <v>243</v>
      </c>
      <c r="B26" s="156">
        <v>1</v>
      </c>
      <c r="C26" s="168">
        <v>2</v>
      </c>
      <c r="D26" s="168">
        <v>0</v>
      </c>
      <c r="E26">
        <v>15</v>
      </c>
      <c r="F26" s="156">
        <v>1</v>
      </c>
    </row>
    <row r="27" spans="1:6" ht="12.75">
      <c r="A27" t="s">
        <v>244</v>
      </c>
      <c r="B27" s="156">
        <v>1</v>
      </c>
      <c r="C27" s="168">
        <v>4</v>
      </c>
      <c r="D27" s="168">
        <v>2</v>
      </c>
      <c r="E27">
        <v>8</v>
      </c>
      <c r="F27" s="156">
        <v>3</v>
      </c>
    </row>
    <row r="28" spans="1:6" ht="12.75">
      <c r="A28" t="s">
        <v>31</v>
      </c>
      <c r="B28" s="156">
        <v>2</v>
      </c>
      <c r="C28" s="168">
        <v>6</v>
      </c>
      <c r="D28" s="168">
        <v>2</v>
      </c>
      <c r="E28">
        <v>6</v>
      </c>
      <c r="F28" s="156">
        <v>4</v>
      </c>
    </row>
    <row r="29" spans="1:6" ht="12.75">
      <c r="A29" t="s">
        <v>32</v>
      </c>
      <c r="B29" s="156">
        <v>1</v>
      </c>
      <c r="C29" s="168">
        <v>4</v>
      </c>
      <c r="D29" s="168">
        <v>2</v>
      </c>
      <c r="E29">
        <v>8</v>
      </c>
      <c r="F29" s="156">
        <v>3</v>
      </c>
    </row>
    <row r="30" spans="1:6" ht="12.75">
      <c r="A30" t="s">
        <v>1022</v>
      </c>
      <c r="B30" s="156">
        <v>1</v>
      </c>
      <c r="C30" s="168">
        <v>12</v>
      </c>
      <c r="D30" s="168">
        <v>2</v>
      </c>
      <c r="E30">
        <v>15</v>
      </c>
      <c r="F30" s="156">
        <v>4</v>
      </c>
    </row>
    <row r="31" spans="1:6" ht="12.75">
      <c r="A31" t="s">
        <v>33</v>
      </c>
      <c r="B31" s="156">
        <v>1</v>
      </c>
      <c r="C31" s="168">
        <v>2</v>
      </c>
      <c r="D31" s="168">
        <v>1</v>
      </c>
      <c r="E31">
        <v>4</v>
      </c>
      <c r="F31" s="156">
        <v>1</v>
      </c>
    </row>
    <row r="32" spans="1:6" ht="12.75">
      <c r="A32" t="s">
        <v>34</v>
      </c>
      <c r="B32" s="156">
        <v>1</v>
      </c>
      <c r="C32" s="168">
        <v>3</v>
      </c>
      <c r="D32" s="168">
        <v>2</v>
      </c>
      <c r="E32">
        <v>10</v>
      </c>
      <c r="F32" s="156">
        <v>2</v>
      </c>
    </row>
    <row r="33" spans="1:6" ht="12.75">
      <c r="A33" t="s">
        <v>35</v>
      </c>
      <c r="B33" s="156">
        <v>2</v>
      </c>
      <c r="C33" s="168">
        <v>7</v>
      </c>
      <c r="D33" s="168">
        <v>3</v>
      </c>
      <c r="E33">
        <v>0</v>
      </c>
      <c r="F33" s="156">
        <v>5</v>
      </c>
    </row>
    <row r="34" spans="1:6" ht="12.75">
      <c r="A34" t="s">
        <v>36</v>
      </c>
      <c r="B34" s="156">
        <v>2</v>
      </c>
      <c r="C34" s="168">
        <v>7</v>
      </c>
      <c r="D34" s="168">
        <v>3</v>
      </c>
      <c r="E34">
        <v>0</v>
      </c>
      <c r="F34" s="156">
        <v>5</v>
      </c>
    </row>
    <row r="35" spans="1:6" ht="12.75">
      <c r="A35" t="s">
        <v>251</v>
      </c>
      <c r="B35" s="156">
        <v>1</v>
      </c>
      <c r="C35" s="168">
        <v>1</v>
      </c>
      <c r="D35" s="168">
        <v>0</v>
      </c>
      <c r="E35">
        <v>10</v>
      </c>
      <c r="F35" s="156">
        <v>2</v>
      </c>
    </row>
    <row r="36" spans="1:6" ht="12.75">
      <c r="A36" t="s">
        <v>252</v>
      </c>
      <c r="B36" s="156">
        <v>1</v>
      </c>
      <c r="C36" s="168">
        <v>3</v>
      </c>
      <c r="D36" s="168">
        <v>2</v>
      </c>
      <c r="E36">
        <v>10</v>
      </c>
      <c r="F36" s="156">
        <v>3</v>
      </c>
    </row>
    <row r="37" spans="1:6" ht="12.75">
      <c r="A37" t="s">
        <v>253</v>
      </c>
      <c r="B37" s="156">
        <v>2</v>
      </c>
      <c r="C37" s="168">
        <v>3</v>
      </c>
      <c r="D37" s="168">
        <v>2</v>
      </c>
      <c r="E37">
        <v>0</v>
      </c>
      <c r="F37" s="156">
        <v>3</v>
      </c>
    </row>
    <row r="38" spans="1:6" ht="12.75">
      <c r="A38" t="s">
        <v>254</v>
      </c>
      <c r="B38" s="156">
        <v>1</v>
      </c>
      <c r="C38" s="168">
        <v>3</v>
      </c>
      <c r="D38" s="168">
        <v>2</v>
      </c>
      <c r="E38">
        <v>0</v>
      </c>
      <c r="F38" s="156">
        <v>3</v>
      </c>
    </row>
    <row r="39" spans="1:6" ht="12.75">
      <c r="A39" t="s">
        <v>255</v>
      </c>
      <c r="B39" s="156">
        <v>1</v>
      </c>
      <c r="C39" s="168">
        <v>2</v>
      </c>
      <c r="D39" s="168">
        <v>1</v>
      </c>
      <c r="E39">
        <v>15</v>
      </c>
      <c r="F39" s="156">
        <v>2</v>
      </c>
    </row>
    <row r="40" spans="1:6" ht="12.75">
      <c r="A40" t="s">
        <v>456</v>
      </c>
      <c r="B40" s="156">
        <v>1</v>
      </c>
      <c r="C40" s="168">
        <v>5</v>
      </c>
      <c r="D40" s="168">
        <v>2</v>
      </c>
      <c r="E40">
        <v>8</v>
      </c>
      <c r="F40" s="156">
        <v>3</v>
      </c>
    </row>
    <row r="41" spans="1:6" ht="12.75">
      <c r="A41" t="s">
        <v>669</v>
      </c>
      <c r="B41" s="156">
        <v>2</v>
      </c>
      <c r="C41" s="168">
        <v>7</v>
      </c>
      <c r="D41" s="168">
        <v>2</v>
      </c>
      <c r="E41">
        <v>8</v>
      </c>
      <c r="F41" s="156">
        <v>4</v>
      </c>
    </row>
    <row r="42" spans="1:6" ht="12.75">
      <c r="A42" t="s">
        <v>256</v>
      </c>
      <c r="B42" s="156">
        <v>1</v>
      </c>
      <c r="C42" s="168">
        <v>2</v>
      </c>
      <c r="D42" s="168">
        <v>0</v>
      </c>
      <c r="E42">
        <v>15</v>
      </c>
      <c r="F42" s="156">
        <v>1</v>
      </c>
    </row>
    <row r="43" spans="1:6" ht="12.75">
      <c r="A43" t="s">
        <v>257</v>
      </c>
      <c r="B43" s="156">
        <v>1</v>
      </c>
      <c r="C43" s="168">
        <v>3</v>
      </c>
      <c r="D43" s="168">
        <v>1</v>
      </c>
      <c r="E43">
        <v>10</v>
      </c>
      <c r="F43" s="156">
        <v>2</v>
      </c>
    </row>
    <row r="44" spans="1:6" ht="12.75">
      <c r="A44" t="s">
        <v>258</v>
      </c>
      <c r="B44" s="156">
        <v>1</v>
      </c>
      <c r="C44" s="168">
        <v>2</v>
      </c>
      <c r="D44" s="168">
        <v>0</v>
      </c>
      <c r="E44">
        <v>10</v>
      </c>
      <c r="F44" s="156">
        <v>1</v>
      </c>
    </row>
    <row r="45" spans="1:6" ht="12.75">
      <c r="A45" t="s">
        <v>259</v>
      </c>
      <c r="B45" s="156">
        <v>1</v>
      </c>
      <c r="C45" s="168">
        <v>1</v>
      </c>
      <c r="D45" s="168">
        <v>0</v>
      </c>
      <c r="E45">
        <v>18</v>
      </c>
      <c r="F45" s="156">
        <v>1</v>
      </c>
    </row>
    <row r="46" spans="1:6" ht="12.75">
      <c r="A46" t="s">
        <v>260</v>
      </c>
      <c r="B46" s="156">
        <v>1</v>
      </c>
      <c r="C46" s="168">
        <v>3</v>
      </c>
      <c r="D46" s="168">
        <v>1</v>
      </c>
      <c r="E46">
        <v>10</v>
      </c>
      <c r="F46" s="156">
        <v>2</v>
      </c>
    </row>
    <row r="47" spans="1:6" ht="12.75">
      <c r="A47" t="s">
        <v>47</v>
      </c>
      <c r="B47" s="156">
        <v>1</v>
      </c>
      <c r="C47" s="168">
        <v>3</v>
      </c>
      <c r="D47" s="168">
        <v>1</v>
      </c>
      <c r="E47">
        <v>10</v>
      </c>
      <c r="F47" s="156">
        <v>1</v>
      </c>
    </row>
    <row r="48" spans="1:6" ht="12.75">
      <c r="A48" t="s">
        <v>462</v>
      </c>
      <c r="B48" s="156">
        <v>1</v>
      </c>
      <c r="C48" s="168">
        <v>2</v>
      </c>
      <c r="D48" s="168">
        <v>0</v>
      </c>
      <c r="E48">
        <v>18</v>
      </c>
      <c r="F48" s="156">
        <v>1</v>
      </c>
    </row>
    <row r="49" spans="1:6" ht="12.75">
      <c r="A49" t="s">
        <v>464</v>
      </c>
      <c r="B49" s="156">
        <v>1</v>
      </c>
      <c r="C49" s="168">
        <v>3</v>
      </c>
      <c r="D49" s="168">
        <v>1</v>
      </c>
      <c r="E49">
        <v>10</v>
      </c>
      <c r="F49" s="156">
        <v>2</v>
      </c>
    </row>
    <row r="50" spans="1:6" ht="12.75">
      <c r="A50" t="s">
        <v>465</v>
      </c>
      <c r="B50" s="156">
        <v>1</v>
      </c>
      <c r="C50" s="168">
        <v>14</v>
      </c>
      <c r="D50" s="168">
        <v>4</v>
      </c>
      <c r="E50">
        <v>0</v>
      </c>
      <c r="F50" s="156">
        <v>6</v>
      </c>
    </row>
    <row r="51" spans="1:6" ht="12.75">
      <c r="A51" t="s">
        <v>37</v>
      </c>
      <c r="B51" s="156">
        <v>1</v>
      </c>
      <c r="C51" s="168">
        <v>7</v>
      </c>
      <c r="D51" s="168">
        <v>2</v>
      </c>
      <c r="E51">
        <v>15</v>
      </c>
      <c r="F51" s="156">
        <v>3</v>
      </c>
    </row>
    <row r="52" spans="1:6" ht="12.75">
      <c r="A52" t="s">
        <v>466</v>
      </c>
      <c r="B52" s="156">
        <v>2</v>
      </c>
      <c r="C52" s="168">
        <v>7</v>
      </c>
      <c r="D52" s="168">
        <v>2</v>
      </c>
      <c r="E52">
        <v>0</v>
      </c>
      <c r="F52" s="156">
        <v>4</v>
      </c>
    </row>
    <row r="53" spans="1:6" ht="12.75">
      <c r="A53" t="s">
        <v>545</v>
      </c>
      <c r="B53" s="156">
        <v>1</v>
      </c>
      <c r="C53" s="168">
        <v>10</v>
      </c>
      <c r="D53" s="168">
        <v>2</v>
      </c>
      <c r="E53">
        <v>15</v>
      </c>
      <c r="F53" s="156">
        <v>4</v>
      </c>
    </row>
    <row r="54" spans="1:6" ht="12.75">
      <c r="A54" t="s">
        <v>467</v>
      </c>
      <c r="B54" s="156">
        <v>1</v>
      </c>
      <c r="C54" s="168">
        <v>4</v>
      </c>
      <c r="D54" s="168">
        <v>2</v>
      </c>
      <c r="E54">
        <v>8</v>
      </c>
      <c r="F54" s="156">
        <v>3</v>
      </c>
    </row>
    <row r="55" spans="1:6" ht="12.75">
      <c r="A55" t="s">
        <v>468</v>
      </c>
      <c r="B55" s="156">
        <v>1</v>
      </c>
      <c r="C55" s="168">
        <v>4</v>
      </c>
      <c r="D55" s="168">
        <v>2</v>
      </c>
      <c r="E55">
        <v>4</v>
      </c>
      <c r="F55" s="156">
        <v>3</v>
      </c>
    </row>
    <row r="56" spans="1:6" ht="12.75">
      <c r="A56" t="s">
        <v>469</v>
      </c>
      <c r="B56" s="156">
        <v>1</v>
      </c>
      <c r="C56" s="168">
        <v>3</v>
      </c>
      <c r="D56" s="168">
        <v>1</v>
      </c>
      <c r="E56">
        <v>10</v>
      </c>
      <c r="F56" s="156">
        <v>2</v>
      </c>
    </row>
    <row r="57" spans="1:6" ht="12.75">
      <c r="A57" t="s">
        <v>470</v>
      </c>
      <c r="B57" s="156">
        <v>1</v>
      </c>
      <c r="C57" s="168">
        <v>2</v>
      </c>
      <c r="D57" s="168">
        <v>0</v>
      </c>
      <c r="E57">
        <v>8</v>
      </c>
      <c r="F57" s="156">
        <v>1</v>
      </c>
    </row>
    <row r="58" spans="1:6" ht="12.75">
      <c r="A58" t="s">
        <v>471</v>
      </c>
      <c r="B58" s="156">
        <v>1</v>
      </c>
      <c r="C58" s="168">
        <v>5</v>
      </c>
      <c r="D58" s="168">
        <v>2</v>
      </c>
      <c r="E58">
        <v>4</v>
      </c>
      <c r="F58" s="156">
        <v>3</v>
      </c>
    </row>
    <row r="59" spans="1:6" ht="12.75">
      <c r="A59" t="s">
        <v>472</v>
      </c>
      <c r="B59" s="156">
        <v>2</v>
      </c>
      <c r="C59" s="168">
        <v>7</v>
      </c>
      <c r="D59" s="168">
        <v>3</v>
      </c>
      <c r="E59">
        <v>0</v>
      </c>
      <c r="F59" s="156">
        <v>5</v>
      </c>
    </row>
    <row r="60" spans="1:6" ht="12.75">
      <c r="A60" t="s">
        <v>543</v>
      </c>
      <c r="B60" s="156">
        <v>1</v>
      </c>
      <c r="C60" s="168">
        <v>8</v>
      </c>
      <c r="D60" s="168">
        <v>3</v>
      </c>
      <c r="E60">
        <v>12</v>
      </c>
      <c r="F60" s="156">
        <v>2</v>
      </c>
    </row>
    <row r="61" spans="1:6" ht="12.75">
      <c r="A61" t="s">
        <v>473</v>
      </c>
      <c r="B61" s="156">
        <v>1</v>
      </c>
      <c r="C61" s="168">
        <v>5</v>
      </c>
      <c r="D61" s="168">
        <v>2</v>
      </c>
      <c r="E61">
        <v>12</v>
      </c>
      <c r="F61" s="156">
        <v>4</v>
      </c>
    </row>
    <row r="62" spans="1:6" ht="12.75">
      <c r="A62" t="s">
        <v>474</v>
      </c>
      <c r="B62" s="156">
        <v>2</v>
      </c>
      <c r="C62" s="168">
        <v>8</v>
      </c>
      <c r="D62" s="168">
        <v>2</v>
      </c>
      <c r="E62">
        <v>4</v>
      </c>
      <c r="F62" s="156">
        <v>2</v>
      </c>
    </row>
    <row r="63" spans="1:6" ht="12.75">
      <c r="A63" t="s">
        <v>684</v>
      </c>
      <c r="B63" s="156">
        <v>2</v>
      </c>
      <c r="C63" s="168">
        <v>6</v>
      </c>
      <c r="D63" s="168">
        <v>1</v>
      </c>
      <c r="E63">
        <v>12</v>
      </c>
      <c r="F63" s="156">
        <v>3</v>
      </c>
    </row>
    <row r="64" spans="1:6" ht="12.75">
      <c r="A64" t="s">
        <v>544</v>
      </c>
      <c r="B64" s="156">
        <v>1</v>
      </c>
      <c r="C64" s="168">
        <v>7</v>
      </c>
      <c r="D64" s="168">
        <v>1</v>
      </c>
      <c r="E64">
        <v>15</v>
      </c>
      <c r="F64" s="156">
        <v>2</v>
      </c>
    </row>
    <row r="65" spans="1:6" ht="12.75">
      <c r="A65" t="s">
        <v>880</v>
      </c>
      <c r="B65" s="156">
        <v>2</v>
      </c>
      <c r="C65" s="168">
        <v>6</v>
      </c>
      <c r="D65" s="168">
        <v>2</v>
      </c>
      <c r="E65">
        <v>0</v>
      </c>
      <c r="F65" s="156">
        <v>3</v>
      </c>
    </row>
    <row r="66" spans="1:6" ht="12.75">
      <c r="A66" t="s">
        <v>881</v>
      </c>
      <c r="B66" s="156">
        <v>2</v>
      </c>
      <c r="C66" s="168">
        <v>6</v>
      </c>
      <c r="D66" s="168">
        <v>4</v>
      </c>
      <c r="E66">
        <v>0</v>
      </c>
      <c r="F66" s="156">
        <v>6</v>
      </c>
    </row>
    <row r="67" spans="1:6" ht="12.75">
      <c r="A67" t="s">
        <v>475</v>
      </c>
      <c r="B67" s="156">
        <v>2</v>
      </c>
      <c r="C67" s="168">
        <v>6</v>
      </c>
      <c r="D67" s="168">
        <v>2</v>
      </c>
      <c r="E67">
        <v>8</v>
      </c>
      <c r="F67" s="156">
        <v>3</v>
      </c>
    </row>
    <row r="68" spans="1:6" ht="12.75">
      <c r="A68" t="s">
        <v>854</v>
      </c>
      <c r="B68" s="156">
        <v>2</v>
      </c>
      <c r="C68" s="168">
        <v>4</v>
      </c>
      <c r="D68" s="168">
        <v>2</v>
      </c>
      <c r="E68">
        <v>0</v>
      </c>
      <c r="F68" s="156">
        <v>3</v>
      </c>
    </row>
    <row r="69" spans="1:6" ht="12.75">
      <c r="A69" t="s">
        <v>855</v>
      </c>
      <c r="B69" s="156">
        <v>1</v>
      </c>
      <c r="C69" s="168">
        <v>2</v>
      </c>
      <c r="D69" s="168">
        <v>0</v>
      </c>
      <c r="E69">
        <v>15</v>
      </c>
      <c r="F69" s="156">
        <v>1</v>
      </c>
    </row>
    <row r="70" spans="1:6" ht="12.75">
      <c r="A70" t="s">
        <v>856</v>
      </c>
      <c r="B70" s="156">
        <v>2</v>
      </c>
      <c r="C70" s="168">
        <v>3</v>
      </c>
      <c r="D70" s="168">
        <v>2</v>
      </c>
      <c r="E70">
        <v>0</v>
      </c>
      <c r="F70" s="156">
        <v>3</v>
      </c>
    </row>
    <row r="71" spans="1:6" ht="12.75">
      <c r="A71" t="s">
        <v>857</v>
      </c>
      <c r="B71" s="156">
        <v>1</v>
      </c>
      <c r="C71" s="168">
        <v>4</v>
      </c>
      <c r="D71" s="168">
        <v>2</v>
      </c>
      <c r="E71">
        <v>8</v>
      </c>
      <c r="F71" s="156">
        <v>3</v>
      </c>
    </row>
    <row r="72" spans="1:6" ht="12.75">
      <c r="A72" t="s">
        <v>858</v>
      </c>
      <c r="B72" s="156">
        <v>1</v>
      </c>
      <c r="C72" s="168">
        <v>4</v>
      </c>
      <c r="D72" s="168">
        <v>2</v>
      </c>
      <c r="E72">
        <v>8</v>
      </c>
      <c r="F72" s="156">
        <v>3</v>
      </c>
    </row>
    <row r="73" spans="1:6" ht="12.75">
      <c r="A73" t="s">
        <v>978</v>
      </c>
      <c r="B73" s="156">
        <v>1</v>
      </c>
      <c r="C73" s="168">
        <v>2</v>
      </c>
      <c r="D73" s="168">
        <v>1</v>
      </c>
      <c r="E73">
        <v>10</v>
      </c>
      <c r="F73" s="156">
        <v>2</v>
      </c>
    </row>
    <row r="74" spans="1:6" ht="12.75">
      <c r="A74" t="s">
        <v>859</v>
      </c>
      <c r="B74" s="156">
        <v>1</v>
      </c>
      <c r="C74" s="168">
        <v>2</v>
      </c>
      <c r="D74" s="168">
        <v>0</v>
      </c>
      <c r="E74">
        <v>18</v>
      </c>
      <c r="F74" s="156">
        <v>1</v>
      </c>
    </row>
    <row r="75" spans="1:6" ht="12.75">
      <c r="A75" t="s">
        <v>860</v>
      </c>
      <c r="B75" s="156">
        <v>1</v>
      </c>
      <c r="C75" s="168">
        <v>4</v>
      </c>
      <c r="D75" s="168">
        <v>2</v>
      </c>
      <c r="E75">
        <v>8</v>
      </c>
      <c r="F75" s="156">
        <v>3</v>
      </c>
    </row>
    <row r="76" spans="1:6" ht="12.75">
      <c r="A76" t="s">
        <v>862</v>
      </c>
      <c r="B76" s="156">
        <v>2</v>
      </c>
      <c r="C76" s="168">
        <v>3</v>
      </c>
      <c r="D76" s="168">
        <v>1</v>
      </c>
      <c r="E76">
        <v>0</v>
      </c>
      <c r="F76" s="156">
        <v>3</v>
      </c>
    </row>
    <row r="77" spans="1:6" ht="12.75">
      <c r="A77" t="s">
        <v>863</v>
      </c>
      <c r="B77" s="156">
        <v>2</v>
      </c>
      <c r="C77" s="168">
        <v>3</v>
      </c>
      <c r="D77" s="168">
        <v>2</v>
      </c>
      <c r="E77">
        <v>0</v>
      </c>
      <c r="F77" s="156">
        <v>3</v>
      </c>
    </row>
    <row r="78" spans="1:6" ht="12.75">
      <c r="A78" t="s">
        <v>542</v>
      </c>
      <c r="B78" s="156">
        <v>1</v>
      </c>
      <c r="C78" s="168">
        <v>3</v>
      </c>
      <c r="D78" s="168">
        <v>2</v>
      </c>
      <c r="E78">
        <v>0</v>
      </c>
      <c r="F78" s="156">
        <v>3</v>
      </c>
    </row>
    <row r="79" spans="1:6" ht="12.75">
      <c r="A79" t="s">
        <v>541</v>
      </c>
      <c r="B79" s="156">
        <v>2</v>
      </c>
      <c r="C79" s="168">
        <v>5</v>
      </c>
      <c r="D79" s="168">
        <v>2</v>
      </c>
      <c r="E79">
        <v>0</v>
      </c>
      <c r="F79" s="156">
        <v>4</v>
      </c>
    </row>
    <row r="80" spans="1:6" ht="12.75">
      <c r="A80" t="s">
        <v>569</v>
      </c>
      <c r="B80" s="156">
        <v>1</v>
      </c>
      <c r="C80" s="168">
        <v>2</v>
      </c>
      <c r="D80" s="168">
        <v>0</v>
      </c>
      <c r="E80">
        <v>18</v>
      </c>
      <c r="F80" s="156">
        <v>1</v>
      </c>
    </row>
    <row r="81" spans="1:6" ht="12.75">
      <c r="A81" t="s">
        <v>570</v>
      </c>
      <c r="B81" s="156">
        <v>1</v>
      </c>
      <c r="C81" s="168">
        <v>3</v>
      </c>
      <c r="D81" s="168">
        <v>1</v>
      </c>
      <c r="E81">
        <v>15</v>
      </c>
      <c r="F81" s="156">
        <v>3</v>
      </c>
    </row>
    <row r="82" spans="1:6" ht="12.75">
      <c r="A82" t="s">
        <v>571</v>
      </c>
      <c r="B82" s="156">
        <v>2</v>
      </c>
      <c r="C82" s="168">
        <v>7</v>
      </c>
      <c r="D82" s="168">
        <v>2</v>
      </c>
      <c r="E82">
        <v>0</v>
      </c>
      <c r="F82" s="156">
        <v>4</v>
      </c>
    </row>
    <row r="83" spans="1:6" ht="12.75">
      <c r="A83" t="s">
        <v>572</v>
      </c>
      <c r="B83" s="156">
        <v>1</v>
      </c>
      <c r="C83" s="168">
        <v>3</v>
      </c>
      <c r="D83" s="168">
        <v>1</v>
      </c>
      <c r="E83">
        <v>8</v>
      </c>
      <c r="F83" s="156">
        <v>2</v>
      </c>
    </row>
    <row r="84" spans="1:6" ht="12.75">
      <c r="A84" t="s">
        <v>437</v>
      </c>
      <c r="B84" s="156">
        <v>1</v>
      </c>
      <c r="C84" s="168">
        <v>3</v>
      </c>
      <c r="D84" s="168">
        <v>1</v>
      </c>
      <c r="E84">
        <v>10</v>
      </c>
      <c r="F84" s="156">
        <v>2</v>
      </c>
    </row>
    <row r="85" spans="1:6" ht="12.75">
      <c r="A85" t="s">
        <v>573</v>
      </c>
      <c r="B85" s="156">
        <v>1</v>
      </c>
      <c r="C85" s="168">
        <v>4</v>
      </c>
      <c r="D85" s="168">
        <v>2</v>
      </c>
      <c r="E85">
        <v>8</v>
      </c>
      <c r="F85" s="156">
        <v>3</v>
      </c>
    </row>
    <row r="86" spans="1:6" ht="12.75">
      <c r="A86" t="s">
        <v>574</v>
      </c>
      <c r="B86" s="156">
        <v>2</v>
      </c>
      <c r="C86" s="168">
        <v>8</v>
      </c>
      <c r="D86" s="168">
        <v>2</v>
      </c>
      <c r="E86">
        <v>4</v>
      </c>
      <c r="F86" s="156">
        <v>4</v>
      </c>
    </row>
    <row r="87" spans="1:6" ht="12.75">
      <c r="A87" t="s">
        <v>248</v>
      </c>
      <c r="B87" s="156">
        <v>2</v>
      </c>
      <c r="C87" s="168">
        <v>7</v>
      </c>
      <c r="D87" s="156">
        <v>2</v>
      </c>
      <c r="E87">
        <v>2</v>
      </c>
      <c r="F87" s="156">
        <v>4</v>
      </c>
    </row>
    <row r="88" spans="1:6" ht="12.75">
      <c r="A88" t="s">
        <v>1023</v>
      </c>
      <c r="B88" s="156">
        <v>1</v>
      </c>
      <c r="C88" s="168">
        <v>4</v>
      </c>
      <c r="D88" s="168">
        <v>1</v>
      </c>
      <c r="E88">
        <v>10</v>
      </c>
      <c r="F88" s="156">
        <v>2</v>
      </c>
    </row>
    <row r="89" spans="1:6" ht="12.75">
      <c r="A89" t="s">
        <v>744</v>
      </c>
      <c r="B89" s="156">
        <v>1</v>
      </c>
      <c r="C89" s="168">
        <v>3</v>
      </c>
      <c r="D89" s="156">
        <v>0</v>
      </c>
      <c r="E89">
        <v>15</v>
      </c>
      <c r="F89" s="156">
        <v>1</v>
      </c>
    </row>
    <row r="90" spans="1:6" ht="12.75">
      <c r="A90" t="s">
        <v>249</v>
      </c>
      <c r="B90" s="156">
        <v>1</v>
      </c>
      <c r="C90" s="168">
        <v>5</v>
      </c>
      <c r="D90" s="156">
        <v>2</v>
      </c>
      <c r="E90">
        <v>8</v>
      </c>
      <c r="F90" s="156">
        <v>3</v>
      </c>
    </row>
    <row r="91" spans="1:6" ht="12.75">
      <c r="A91" t="s">
        <v>665</v>
      </c>
      <c r="B91" s="156">
        <v>1</v>
      </c>
      <c r="C91" s="168">
        <v>4</v>
      </c>
      <c r="D91" s="168">
        <v>1</v>
      </c>
      <c r="E91">
        <v>10</v>
      </c>
      <c r="F91" s="156">
        <v>2</v>
      </c>
    </row>
    <row r="92" spans="1:6" ht="12.75">
      <c r="A92" t="s">
        <v>666</v>
      </c>
      <c r="B92" s="156">
        <v>1</v>
      </c>
      <c r="C92" s="168">
        <v>2</v>
      </c>
      <c r="D92" s="168">
        <v>3</v>
      </c>
      <c r="E92">
        <v>12</v>
      </c>
      <c r="F92" s="156">
        <v>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18" sqref="B18"/>
    </sheetView>
  </sheetViews>
  <sheetFormatPr defaultColWidth="11.00390625" defaultRowHeight="12"/>
  <sheetData>
    <row r="1" spans="1:9" ht="12.75">
      <c r="A1" s="149" t="s">
        <v>751</v>
      </c>
      <c r="B1" s="5" t="s">
        <v>948</v>
      </c>
      <c r="C1" s="5" t="s">
        <v>124</v>
      </c>
      <c r="D1" s="149" t="s">
        <v>800</v>
      </c>
      <c r="E1" s="5" t="s">
        <v>126</v>
      </c>
      <c r="F1" s="5" t="s">
        <v>747</v>
      </c>
      <c r="G1" s="5" t="s">
        <v>748</v>
      </c>
      <c r="H1" s="5" t="s">
        <v>749</v>
      </c>
      <c r="I1" s="5" t="s">
        <v>804</v>
      </c>
    </row>
    <row r="2" spans="1:9" ht="12.75">
      <c r="A2" t="s">
        <v>1170</v>
      </c>
      <c r="B2" s="156">
        <v>1</v>
      </c>
      <c r="C2" s="168">
        <v>4</v>
      </c>
      <c r="D2" s="156">
        <v>5</v>
      </c>
      <c r="E2" s="156" t="s">
        <v>1086</v>
      </c>
      <c r="F2" s="171" t="s">
        <v>1092</v>
      </c>
      <c r="G2" s="171" t="s">
        <v>963</v>
      </c>
      <c r="H2" s="156" t="s">
        <v>964</v>
      </c>
      <c r="I2" s="156" t="s">
        <v>965</v>
      </c>
    </row>
    <row r="3" spans="1:9" ht="12.75">
      <c r="A3" t="s">
        <v>1096</v>
      </c>
      <c r="B3" s="156">
        <v>2</v>
      </c>
      <c r="C3" s="156">
        <v>4</v>
      </c>
      <c r="D3" s="168">
        <v>2</v>
      </c>
      <c r="E3" s="171" t="s">
        <v>1086</v>
      </c>
      <c r="F3" s="171" t="s">
        <v>1087</v>
      </c>
      <c r="G3" s="171" t="s">
        <v>1099</v>
      </c>
      <c r="H3" s="171" t="s">
        <v>1100</v>
      </c>
      <c r="I3" s="171" t="s">
        <v>1101</v>
      </c>
    </row>
    <row r="4" spans="1:9" ht="12.75">
      <c r="A4" t="s">
        <v>872</v>
      </c>
      <c r="B4" s="156">
        <v>2</v>
      </c>
      <c r="C4" s="156">
        <v>8</v>
      </c>
      <c r="D4" s="168">
        <v>2</v>
      </c>
      <c r="E4" s="171" t="s">
        <v>1086</v>
      </c>
      <c r="F4" s="171" t="s">
        <v>873</v>
      </c>
      <c r="G4" s="171" t="s">
        <v>874</v>
      </c>
      <c r="H4" s="171" t="s">
        <v>875</v>
      </c>
      <c r="I4" s="171" t="s">
        <v>876</v>
      </c>
    </row>
    <row r="5" spans="1:9" ht="12.75">
      <c r="A5" t="s">
        <v>463</v>
      </c>
      <c r="B5" s="156">
        <v>1</v>
      </c>
      <c r="C5" s="168">
        <v>3</v>
      </c>
      <c r="D5" s="156">
        <v>15</v>
      </c>
      <c r="E5" s="156" t="s">
        <v>961</v>
      </c>
      <c r="F5" s="172" t="s">
        <v>962</v>
      </c>
      <c r="G5" s="171" t="s">
        <v>1092</v>
      </c>
      <c r="H5" s="171" t="s">
        <v>963</v>
      </c>
      <c r="I5" s="156" t="s">
        <v>964</v>
      </c>
    </row>
    <row r="6" spans="1:9" ht="12.75">
      <c r="A6" t="s">
        <v>476</v>
      </c>
      <c r="B6" s="156">
        <v>2</v>
      </c>
      <c r="C6" s="156">
        <v>3</v>
      </c>
      <c r="D6" s="168">
        <v>4</v>
      </c>
      <c r="E6" s="171" t="s">
        <v>1086</v>
      </c>
      <c r="F6" s="171" t="s">
        <v>1092</v>
      </c>
      <c r="G6" s="171" t="s">
        <v>1097</v>
      </c>
      <c r="H6" s="171" t="s">
        <v>1098</v>
      </c>
      <c r="I6" s="171" t="s">
        <v>870</v>
      </c>
    </row>
    <row r="7" spans="1:9" ht="12.75">
      <c r="A7" t="s">
        <v>750</v>
      </c>
      <c r="B7" s="156">
        <v>2</v>
      </c>
      <c r="C7" s="156">
        <v>4</v>
      </c>
      <c r="D7" s="168">
        <v>4</v>
      </c>
      <c r="E7" s="171" t="s">
        <v>1086</v>
      </c>
      <c r="F7" s="171" t="s">
        <v>1087</v>
      </c>
      <c r="G7" s="171" t="s">
        <v>1088</v>
      </c>
      <c r="H7" s="171" t="s">
        <v>1089</v>
      </c>
      <c r="I7" s="171" t="s">
        <v>1090</v>
      </c>
    </row>
    <row r="8" spans="1:9" ht="12.75">
      <c r="A8" t="s">
        <v>871</v>
      </c>
      <c r="B8" s="156">
        <v>2</v>
      </c>
      <c r="C8" s="156">
        <v>5</v>
      </c>
      <c r="D8" s="168">
        <v>3</v>
      </c>
      <c r="E8" s="171" t="s">
        <v>1086</v>
      </c>
      <c r="F8" s="171" t="s">
        <v>1087</v>
      </c>
      <c r="G8" s="171" t="s">
        <v>1088</v>
      </c>
      <c r="H8" s="171" t="s">
        <v>1089</v>
      </c>
      <c r="I8" s="171" t="s">
        <v>1090</v>
      </c>
    </row>
    <row r="9" spans="1:9" ht="12.75">
      <c r="A9" t="s">
        <v>1091</v>
      </c>
      <c r="B9" s="156">
        <v>2</v>
      </c>
      <c r="C9" s="156">
        <v>3</v>
      </c>
      <c r="D9" s="168">
        <v>8</v>
      </c>
      <c r="E9" s="171" t="s">
        <v>1086</v>
      </c>
      <c r="F9" s="171" t="s">
        <v>1092</v>
      </c>
      <c r="G9" s="171" t="s">
        <v>1093</v>
      </c>
      <c r="H9" s="171" t="s">
        <v>1094</v>
      </c>
      <c r="I9" s="171" t="s">
        <v>1095</v>
      </c>
    </row>
    <row r="10" spans="1:9" ht="12.75">
      <c r="A10" t="s">
        <v>861</v>
      </c>
      <c r="B10" s="156">
        <v>1</v>
      </c>
      <c r="C10" s="168">
        <v>3</v>
      </c>
      <c r="D10" s="156">
        <v>20</v>
      </c>
      <c r="E10" s="156" t="s">
        <v>961</v>
      </c>
      <c r="F10" s="172" t="s">
        <v>962</v>
      </c>
      <c r="G10" s="171" t="s">
        <v>1092</v>
      </c>
      <c r="H10" s="171" t="s">
        <v>963</v>
      </c>
      <c r="I10" s="156" t="s">
        <v>964</v>
      </c>
    </row>
    <row r="11" spans="1:9" ht="12.75">
      <c r="A11" t="s">
        <v>779</v>
      </c>
      <c r="B11" s="156">
        <v>1</v>
      </c>
      <c r="C11" s="156">
        <v>4</v>
      </c>
      <c r="D11" s="168">
        <v>20</v>
      </c>
      <c r="E11" s="171" t="s">
        <v>1086</v>
      </c>
      <c r="F11" s="171" t="s">
        <v>1092</v>
      </c>
      <c r="G11" s="171" t="s">
        <v>877</v>
      </c>
      <c r="H11" s="171" t="s">
        <v>1102</v>
      </c>
      <c r="I11" s="171" t="s">
        <v>1103</v>
      </c>
    </row>
    <row r="12" spans="1:9" ht="12.75">
      <c r="A12" t="s">
        <v>864</v>
      </c>
      <c r="B12" s="156">
        <v>1</v>
      </c>
      <c r="C12" s="168">
        <v>4</v>
      </c>
      <c r="D12" s="156">
        <v>0</v>
      </c>
      <c r="E12" s="171" t="s">
        <v>1086</v>
      </c>
      <c r="F12" s="171" t="s">
        <v>1092</v>
      </c>
      <c r="G12" s="171" t="s">
        <v>966</v>
      </c>
      <c r="H12" s="171" t="s">
        <v>967</v>
      </c>
      <c r="I12" s="171" t="s">
        <v>968</v>
      </c>
    </row>
    <row r="13" spans="1:9" ht="12.75">
      <c r="A13" t="s">
        <v>572</v>
      </c>
      <c r="B13" s="156">
        <v>1</v>
      </c>
      <c r="C13" s="168">
        <v>3</v>
      </c>
      <c r="D13" s="156">
        <v>8</v>
      </c>
      <c r="E13" s="156" t="s">
        <v>961</v>
      </c>
      <c r="F13" s="172" t="s">
        <v>962</v>
      </c>
      <c r="G13" s="171" t="s">
        <v>1092</v>
      </c>
      <c r="H13" s="171" t="s">
        <v>963</v>
      </c>
      <c r="I13" s="156" t="s">
        <v>964</v>
      </c>
    </row>
    <row r="14" spans="2:4" ht="12.75">
      <c r="B14" s="156"/>
      <c r="C14" s="168"/>
      <c r="D14" s="168"/>
    </row>
    <row r="25" spans="1:8" ht="12.75">
      <c r="A25" t="s">
        <v>746</v>
      </c>
      <c r="B25" s="156" t="s">
        <v>126</v>
      </c>
      <c r="C25" s="156" t="s">
        <v>747</v>
      </c>
      <c r="D25" s="156" t="s">
        <v>748</v>
      </c>
      <c r="E25" s="156" t="s">
        <v>749</v>
      </c>
      <c r="F25" s="156" t="s">
        <v>804</v>
      </c>
      <c r="H25" t="s">
        <v>124</v>
      </c>
    </row>
    <row r="26" spans="1:8" ht="12.75">
      <c r="A26" t="s">
        <v>750</v>
      </c>
      <c r="B26" s="171" t="s">
        <v>1086</v>
      </c>
      <c r="C26" s="171" t="s">
        <v>1087</v>
      </c>
      <c r="D26" s="171" t="s">
        <v>1088</v>
      </c>
      <c r="E26" s="171" t="s">
        <v>1089</v>
      </c>
      <c r="F26" s="171" t="s">
        <v>1090</v>
      </c>
      <c r="H26" s="156">
        <v>4</v>
      </c>
    </row>
    <row r="27" spans="1:8" ht="12.75">
      <c r="A27" t="s">
        <v>1091</v>
      </c>
      <c r="B27" s="171" t="s">
        <v>1086</v>
      </c>
      <c r="C27" s="171" t="s">
        <v>1092</v>
      </c>
      <c r="D27" s="171" t="s">
        <v>1093</v>
      </c>
      <c r="E27" s="171" t="s">
        <v>1094</v>
      </c>
      <c r="F27" s="171" t="s">
        <v>1095</v>
      </c>
      <c r="H27" s="156">
        <v>3</v>
      </c>
    </row>
    <row r="28" spans="1:8" ht="12.75">
      <c r="A28" t="s">
        <v>1096</v>
      </c>
      <c r="B28" s="171" t="s">
        <v>1086</v>
      </c>
      <c r="C28" s="171" t="s">
        <v>1087</v>
      </c>
      <c r="D28" s="171" t="s">
        <v>1099</v>
      </c>
      <c r="E28" s="171" t="s">
        <v>1100</v>
      </c>
      <c r="F28" s="171" t="s">
        <v>1101</v>
      </c>
      <c r="H28" s="156">
        <v>4</v>
      </c>
    </row>
    <row r="29" spans="1:8" ht="12.75">
      <c r="A29" t="s">
        <v>476</v>
      </c>
      <c r="B29" s="171" t="s">
        <v>1086</v>
      </c>
      <c r="C29" s="171" t="s">
        <v>1092</v>
      </c>
      <c r="D29" s="171" t="s">
        <v>1097</v>
      </c>
      <c r="E29" s="171" t="s">
        <v>1098</v>
      </c>
      <c r="F29" s="171" t="s">
        <v>870</v>
      </c>
      <c r="H29" s="156">
        <v>3</v>
      </c>
    </row>
    <row r="30" spans="1:8" ht="12.75">
      <c r="A30" t="s">
        <v>871</v>
      </c>
      <c r="B30" s="171" t="s">
        <v>1086</v>
      </c>
      <c r="C30" s="171" t="s">
        <v>1087</v>
      </c>
      <c r="D30" s="171" t="s">
        <v>1088</v>
      </c>
      <c r="E30" s="171" t="s">
        <v>1089</v>
      </c>
      <c r="F30" s="171" t="s">
        <v>1090</v>
      </c>
      <c r="H30" s="156">
        <v>5</v>
      </c>
    </row>
    <row r="31" spans="1:8" ht="12.75">
      <c r="A31" t="s">
        <v>872</v>
      </c>
      <c r="B31" s="171" t="s">
        <v>1086</v>
      </c>
      <c r="C31" s="171" t="s">
        <v>873</v>
      </c>
      <c r="D31" s="171" t="s">
        <v>874</v>
      </c>
      <c r="E31" s="171" t="s">
        <v>875</v>
      </c>
      <c r="F31" s="171" t="s">
        <v>876</v>
      </c>
      <c r="H31" s="156">
        <v>8</v>
      </c>
    </row>
    <row r="32" spans="1:8" ht="12.75">
      <c r="A32" t="s">
        <v>779</v>
      </c>
      <c r="B32" s="171" t="s">
        <v>1086</v>
      </c>
      <c r="C32" s="171" t="s">
        <v>1092</v>
      </c>
      <c r="D32" s="171" t="s">
        <v>877</v>
      </c>
      <c r="E32" s="171" t="s">
        <v>1102</v>
      </c>
      <c r="F32" s="171" t="s">
        <v>1103</v>
      </c>
      <c r="H32" s="156">
        <v>4</v>
      </c>
    </row>
    <row r="34" spans="1:3" ht="12.75">
      <c r="A34" t="s">
        <v>1104</v>
      </c>
      <c r="B34" t="s">
        <v>1105</v>
      </c>
      <c r="C34" t="s">
        <v>1106</v>
      </c>
    </row>
    <row r="35" spans="1:3" ht="12.75">
      <c r="A35" t="s">
        <v>879</v>
      </c>
      <c r="B35" s="156">
        <v>0</v>
      </c>
      <c r="C35" t="s">
        <v>884</v>
      </c>
    </row>
    <row r="36" spans="1:3" ht="12.75">
      <c r="A36" t="s">
        <v>568</v>
      </c>
      <c r="B36" s="156">
        <v>-1</v>
      </c>
      <c r="C36" t="s">
        <v>365</v>
      </c>
    </row>
    <row r="37" spans="1:3" ht="12.75">
      <c r="A37" t="s">
        <v>158</v>
      </c>
      <c r="B37" s="156">
        <v>-1</v>
      </c>
      <c r="C37" t="s">
        <v>159</v>
      </c>
    </row>
    <row r="38" spans="1:3" ht="12.75">
      <c r="A38" t="s">
        <v>160</v>
      </c>
      <c r="B38" s="171" t="s">
        <v>161</v>
      </c>
      <c r="C38" t="s">
        <v>0</v>
      </c>
    </row>
    <row r="39" spans="1:3" ht="12.75">
      <c r="A39" t="s">
        <v>366</v>
      </c>
      <c r="B39" s="171" t="s">
        <v>982</v>
      </c>
      <c r="C39" t="s">
        <v>958</v>
      </c>
    </row>
    <row r="40" spans="1:3" ht="12.75">
      <c r="A40" t="s">
        <v>959</v>
      </c>
      <c r="B40" s="156">
        <v>0</v>
      </c>
      <c r="C40" t="s">
        <v>0</v>
      </c>
    </row>
    <row r="41" spans="1:3" ht="12.75">
      <c r="A41" t="s">
        <v>960</v>
      </c>
      <c r="B41" s="156">
        <v>-1</v>
      </c>
      <c r="C41" t="s">
        <v>958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9"/>
  <sheetViews>
    <sheetView workbookViewId="0" topLeftCell="A1">
      <selection activeCell="A1" sqref="A1"/>
    </sheetView>
  </sheetViews>
  <sheetFormatPr defaultColWidth="11.00390625" defaultRowHeight="12"/>
  <cols>
    <col min="1" max="1" width="27.125" style="0" customWidth="1"/>
    <col min="4" max="4" width="9.875" style="0" customWidth="1"/>
    <col min="10" max="10" width="3.00390625" style="0" customWidth="1"/>
    <col min="20" max="20" width="26.875" style="0" customWidth="1"/>
    <col min="21" max="21" width="12.125" style="0" customWidth="1"/>
    <col min="25" max="25" width="13.50390625" style="0" customWidth="1"/>
  </cols>
  <sheetData>
    <row r="1" spans="1:16" ht="12.75">
      <c r="A1" s="181" t="s">
        <v>751</v>
      </c>
      <c r="B1" s="5" t="s">
        <v>124</v>
      </c>
      <c r="C1" s="5" t="s">
        <v>800</v>
      </c>
      <c r="D1" s="5" t="s">
        <v>801</v>
      </c>
      <c r="E1" s="5" t="s">
        <v>126</v>
      </c>
      <c r="F1" s="5" t="s">
        <v>747</v>
      </c>
      <c r="G1" s="5" t="s">
        <v>748</v>
      </c>
      <c r="H1" s="5" t="s">
        <v>749</v>
      </c>
      <c r="I1" s="5" t="s">
        <v>804</v>
      </c>
      <c r="K1" s="149" t="s">
        <v>282</v>
      </c>
      <c r="L1" s="156" t="s">
        <v>126</v>
      </c>
      <c r="M1" s="156" t="s">
        <v>747</v>
      </c>
      <c r="N1" s="156" t="s">
        <v>748</v>
      </c>
      <c r="O1" s="156" t="s">
        <v>749</v>
      </c>
      <c r="P1" s="156" t="s">
        <v>804</v>
      </c>
    </row>
    <row r="2" spans="1:16" ht="12.75">
      <c r="A2" s="155" t="s">
        <v>690</v>
      </c>
      <c r="B2" s="168">
        <v>6</v>
      </c>
      <c r="C2" s="168">
        <v>3</v>
      </c>
      <c r="D2" t="s">
        <v>936</v>
      </c>
      <c r="E2" s="171" t="s">
        <v>1086</v>
      </c>
      <c r="F2" s="171" t="s">
        <v>1092</v>
      </c>
      <c r="G2" s="171" t="s">
        <v>963</v>
      </c>
      <c r="H2" s="156" t="s">
        <v>268</v>
      </c>
      <c r="I2" s="156" t="s">
        <v>1094</v>
      </c>
      <c r="K2" t="s">
        <v>969</v>
      </c>
      <c r="L2" s="171" t="s">
        <v>961</v>
      </c>
      <c r="M2" s="172" t="s">
        <v>962</v>
      </c>
      <c r="N2" s="171" t="s">
        <v>283</v>
      </c>
      <c r="O2" s="156" t="s">
        <v>970</v>
      </c>
      <c r="P2" s="156" t="s">
        <v>965</v>
      </c>
    </row>
    <row r="3" spans="1:16" ht="12.75">
      <c r="A3" s="155" t="s">
        <v>691</v>
      </c>
      <c r="B3" s="168">
        <v>6</v>
      </c>
      <c r="C3" s="168">
        <v>3</v>
      </c>
      <c r="D3" t="s">
        <v>936</v>
      </c>
      <c r="E3" s="171" t="s">
        <v>1086</v>
      </c>
      <c r="F3" s="171" t="s">
        <v>1092</v>
      </c>
      <c r="G3" s="171" t="s">
        <v>963</v>
      </c>
      <c r="H3" s="156" t="s">
        <v>268</v>
      </c>
      <c r="I3" s="156" t="s">
        <v>1094</v>
      </c>
      <c r="K3" t="s">
        <v>261</v>
      </c>
      <c r="L3" s="171" t="s">
        <v>961</v>
      </c>
      <c r="M3" s="172" t="s">
        <v>962</v>
      </c>
      <c r="N3" s="171" t="s">
        <v>283</v>
      </c>
      <c r="O3" s="156" t="s">
        <v>970</v>
      </c>
      <c r="P3" s="156" t="s">
        <v>983</v>
      </c>
    </row>
    <row r="4" spans="1:16" ht="12.75">
      <c r="A4" s="155" t="s">
        <v>692</v>
      </c>
      <c r="B4" s="168">
        <v>6</v>
      </c>
      <c r="C4" s="168">
        <v>3</v>
      </c>
      <c r="D4" t="s">
        <v>936</v>
      </c>
      <c r="E4" s="171" t="s">
        <v>1086</v>
      </c>
      <c r="F4" s="171" t="s">
        <v>1092</v>
      </c>
      <c r="G4" s="171" t="s">
        <v>963</v>
      </c>
      <c r="H4" s="156" t="s">
        <v>268</v>
      </c>
      <c r="I4" s="156" t="s">
        <v>1094</v>
      </c>
      <c r="K4" t="s">
        <v>262</v>
      </c>
      <c r="L4" s="171" t="s">
        <v>961</v>
      </c>
      <c r="M4" s="172" t="s">
        <v>962</v>
      </c>
      <c r="N4" s="171" t="s">
        <v>1087</v>
      </c>
      <c r="O4" s="156" t="s">
        <v>263</v>
      </c>
      <c r="P4" s="156" t="s">
        <v>264</v>
      </c>
    </row>
    <row r="5" spans="1:16" ht="12.75">
      <c r="A5" s="155" t="s">
        <v>693</v>
      </c>
      <c r="B5" s="168">
        <v>6</v>
      </c>
      <c r="C5" s="168">
        <v>3</v>
      </c>
      <c r="D5" t="s">
        <v>936</v>
      </c>
      <c r="E5" s="171" t="s">
        <v>1086</v>
      </c>
      <c r="F5" s="171" t="s">
        <v>1092</v>
      </c>
      <c r="G5" s="171" t="s">
        <v>963</v>
      </c>
      <c r="H5" s="156" t="s">
        <v>268</v>
      </c>
      <c r="I5" s="156" t="s">
        <v>1094</v>
      </c>
      <c r="K5" t="s">
        <v>265</v>
      </c>
      <c r="L5" s="171" t="s">
        <v>266</v>
      </c>
      <c r="M5" s="171" t="s">
        <v>284</v>
      </c>
      <c r="N5" s="171" t="s">
        <v>285</v>
      </c>
      <c r="O5" s="156" t="s">
        <v>267</v>
      </c>
      <c r="P5" s="156" t="s">
        <v>968</v>
      </c>
    </row>
    <row r="6" spans="1:16" ht="12.75">
      <c r="A6" s="155" t="s">
        <v>1171</v>
      </c>
      <c r="B6" s="168">
        <v>32</v>
      </c>
      <c r="C6" s="168">
        <v>3</v>
      </c>
      <c r="D6" t="s">
        <v>707</v>
      </c>
      <c r="E6" s="171" t="s">
        <v>1086</v>
      </c>
      <c r="F6" s="171" t="s">
        <v>1092</v>
      </c>
      <c r="G6" s="171" t="s">
        <v>963</v>
      </c>
      <c r="H6" s="156" t="s">
        <v>268</v>
      </c>
      <c r="I6" s="156" t="s">
        <v>1094</v>
      </c>
      <c r="K6" t="s">
        <v>772</v>
      </c>
      <c r="L6" s="171" t="s">
        <v>1086</v>
      </c>
      <c r="M6" s="171" t="s">
        <v>1092</v>
      </c>
      <c r="N6" s="171" t="s">
        <v>963</v>
      </c>
      <c r="O6" s="156" t="s">
        <v>268</v>
      </c>
      <c r="P6" s="156" t="s">
        <v>1094</v>
      </c>
    </row>
    <row r="7" spans="1:16" ht="12.75">
      <c r="A7" s="155" t="s">
        <v>939</v>
      </c>
      <c r="B7" s="168">
        <v>36</v>
      </c>
      <c r="C7" s="168">
        <v>3</v>
      </c>
      <c r="D7" t="s">
        <v>707</v>
      </c>
      <c r="E7" s="171" t="s">
        <v>1086</v>
      </c>
      <c r="F7" s="171" t="s">
        <v>1092</v>
      </c>
      <c r="G7" s="171" t="s">
        <v>963</v>
      </c>
      <c r="H7" s="156" t="s">
        <v>268</v>
      </c>
      <c r="I7" s="156" t="s">
        <v>1094</v>
      </c>
      <c r="K7" t="s">
        <v>269</v>
      </c>
      <c r="L7" s="171" t="s">
        <v>1086</v>
      </c>
      <c r="M7" s="171" t="s">
        <v>873</v>
      </c>
      <c r="N7" s="171" t="s">
        <v>270</v>
      </c>
      <c r="O7" s="156" t="s">
        <v>271</v>
      </c>
      <c r="P7" s="156" t="s">
        <v>875</v>
      </c>
    </row>
    <row r="8" spans="1:16" ht="12.75">
      <c r="A8" s="155" t="s">
        <v>1117</v>
      </c>
      <c r="B8" s="168">
        <v>28</v>
      </c>
      <c r="C8" s="168">
        <v>3</v>
      </c>
      <c r="D8" t="s">
        <v>707</v>
      </c>
      <c r="E8" s="171" t="s">
        <v>1086</v>
      </c>
      <c r="F8" s="171" t="s">
        <v>1092</v>
      </c>
      <c r="G8" s="171" t="s">
        <v>963</v>
      </c>
      <c r="H8" s="156" t="s">
        <v>268</v>
      </c>
      <c r="I8" s="156" t="s">
        <v>1094</v>
      </c>
      <c r="K8" t="s">
        <v>52</v>
      </c>
      <c r="L8" s="171" t="s">
        <v>1086</v>
      </c>
      <c r="M8" s="171" t="s">
        <v>873</v>
      </c>
      <c r="N8" s="171" t="s">
        <v>270</v>
      </c>
      <c r="O8" s="156" t="s">
        <v>271</v>
      </c>
      <c r="P8" s="156" t="s">
        <v>875</v>
      </c>
    </row>
    <row r="9" spans="1:16" ht="12.75">
      <c r="A9" s="155" t="s">
        <v>1120</v>
      </c>
      <c r="B9" s="168">
        <v>10</v>
      </c>
      <c r="C9" s="168">
        <v>3</v>
      </c>
      <c r="D9" t="s">
        <v>707</v>
      </c>
      <c r="E9" s="171" t="s">
        <v>1086</v>
      </c>
      <c r="F9" s="171" t="s">
        <v>1092</v>
      </c>
      <c r="G9" s="171" t="s">
        <v>963</v>
      </c>
      <c r="H9" s="156" t="s">
        <v>268</v>
      </c>
      <c r="I9" s="156" t="s">
        <v>1094</v>
      </c>
      <c r="K9" t="s">
        <v>108</v>
      </c>
      <c r="L9" s="171" t="s">
        <v>1086</v>
      </c>
      <c r="M9" s="171" t="s">
        <v>942</v>
      </c>
      <c r="N9" s="171" t="s">
        <v>267</v>
      </c>
      <c r="O9" s="156" t="s">
        <v>423</v>
      </c>
      <c r="P9" s="156" t="s">
        <v>424</v>
      </c>
    </row>
    <row r="10" spans="1:16" ht="12.75">
      <c r="A10" s="155" t="s">
        <v>891</v>
      </c>
      <c r="B10" s="168">
        <v>24</v>
      </c>
      <c r="C10" s="168">
        <v>3</v>
      </c>
      <c r="D10" t="s">
        <v>707</v>
      </c>
      <c r="E10" s="171" t="s">
        <v>1086</v>
      </c>
      <c r="F10" s="171" t="s">
        <v>1092</v>
      </c>
      <c r="G10" s="171" t="s">
        <v>963</v>
      </c>
      <c r="H10" s="156" t="s">
        <v>268</v>
      </c>
      <c r="I10" s="156" t="s">
        <v>1094</v>
      </c>
      <c r="K10" t="s">
        <v>632</v>
      </c>
      <c r="L10" s="171" t="s">
        <v>1086</v>
      </c>
      <c r="M10" s="171" t="s">
        <v>283</v>
      </c>
      <c r="N10" s="171" t="s">
        <v>852</v>
      </c>
      <c r="O10" s="156" t="s">
        <v>853</v>
      </c>
      <c r="P10" s="156" t="s">
        <v>776</v>
      </c>
    </row>
    <row r="11" spans="1:16" ht="12.75">
      <c r="A11" s="155" t="s">
        <v>892</v>
      </c>
      <c r="B11" s="168">
        <v>20</v>
      </c>
      <c r="C11" s="168">
        <v>3</v>
      </c>
      <c r="D11" t="s">
        <v>707</v>
      </c>
      <c r="E11" s="171" t="s">
        <v>1086</v>
      </c>
      <c r="F11" s="171" t="s">
        <v>1092</v>
      </c>
      <c r="G11" s="171" t="s">
        <v>963</v>
      </c>
      <c r="H11" s="156" t="s">
        <v>268</v>
      </c>
      <c r="I11" s="156" t="s">
        <v>1094</v>
      </c>
      <c r="K11" t="s">
        <v>368</v>
      </c>
      <c r="L11" s="156" t="s">
        <v>369</v>
      </c>
      <c r="M11" s="171" t="s">
        <v>1093</v>
      </c>
      <c r="N11" s="171" t="s">
        <v>1094</v>
      </c>
      <c r="O11" s="156" t="s">
        <v>776</v>
      </c>
      <c r="P11" s="156" t="s">
        <v>272</v>
      </c>
    </row>
    <row r="12" spans="1:16" ht="12.75">
      <c r="A12" s="155" t="s">
        <v>1121</v>
      </c>
      <c r="B12" s="168">
        <v>10</v>
      </c>
      <c r="C12" s="168">
        <v>3</v>
      </c>
      <c r="D12" t="s">
        <v>707</v>
      </c>
      <c r="E12" s="171" t="s">
        <v>1086</v>
      </c>
      <c r="F12" s="171" t="s">
        <v>1092</v>
      </c>
      <c r="G12" s="171" t="s">
        <v>963</v>
      </c>
      <c r="H12" s="156" t="s">
        <v>268</v>
      </c>
      <c r="I12" s="156" t="s">
        <v>1094</v>
      </c>
      <c r="K12" t="s">
        <v>53</v>
      </c>
      <c r="L12" s="156" t="s">
        <v>369</v>
      </c>
      <c r="M12" s="171" t="s">
        <v>1093</v>
      </c>
      <c r="N12" s="171" t="s">
        <v>1094</v>
      </c>
      <c r="O12" s="156" t="s">
        <v>776</v>
      </c>
      <c r="P12" s="156" t="s">
        <v>272</v>
      </c>
    </row>
    <row r="13" spans="1:16" ht="12.75">
      <c r="A13" s="155" t="s">
        <v>1119</v>
      </c>
      <c r="B13" s="168">
        <v>16</v>
      </c>
      <c r="C13" s="168">
        <v>3</v>
      </c>
      <c r="D13" t="s">
        <v>707</v>
      </c>
      <c r="E13" s="171" t="s">
        <v>1086</v>
      </c>
      <c r="F13" s="171" t="s">
        <v>1092</v>
      </c>
      <c r="G13" s="171" t="s">
        <v>963</v>
      </c>
      <c r="H13" s="156" t="s">
        <v>268</v>
      </c>
      <c r="I13" s="156" t="s">
        <v>1094</v>
      </c>
      <c r="K13" t="s">
        <v>54</v>
      </c>
      <c r="L13" s="156" t="s">
        <v>369</v>
      </c>
      <c r="M13" s="171" t="s">
        <v>285</v>
      </c>
      <c r="N13" s="171" t="s">
        <v>55</v>
      </c>
      <c r="O13" s="156" t="s">
        <v>1103</v>
      </c>
      <c r="P13" s="156" t="s">
        <v>875</v>
      </c>
    </row>
    <row r="14" spans="1:16" ht="12.75">
      <c r="A14" s="155" t="s">
        <v>937</v>
      </c>
      <c r="B14" s="168">
        <v>24</v>
      </c>
      <c r="C14" s="168">
        <v>3</v>
      </c>
      <c r="D14" t="s">
        <v>378</v>
      </c>
      <c r="E14" s="171" t="s">
        <v>1086</v>
      </c>
      <c r="F14" s="171" t="s">
        <v>1092</v>
      </c>
      <c r="G14" s="171" t="s">
        <v>963</v>
      </c>
      <c r="H14" s="156" t="s">
        <v>268</v>
      </c>
      <c r="I14" s="156" t="s">
        <v>1094</v>
      </c>
      <c r="K14" t="s">
        <v>109</v>
      </c>
      <c r="L14" s="156" t="s">
        <v>369</v>
      </c>
      <c r="M14" s="171" t="s">
        <v>285</v>
      </c>
      <c r="N14" s="171" t="s">
        <v>110</v>
      </c>
      <c r="O14" s="156" t="s">
        <v>875</v>
      </c>
      <c r="P14" s="156" t="s">
        <v>107</v>
      </c>
    </row>
    <row r="15" spans="1:16" ht="12.75">
      <c r="A15" s="155" t="s">
        <v>1128</v>
      </c>
      <c r="B15" s="168">
        <v>22</v>
      </c>
      <c r="C15" s="168">
        <v>3</v>
      </c>
      <c r="D15" t="s">
        <v>936</v>
      </c>
      <c r="E15" s="171" t="s">
        <v>1086</v>
      </c>
      <c r="F15" s="171" t="s">
        <v>1092</v>
      </c>
      <c r="G15" s="171" t="s">
        <v>963</v>
      </c>
      <c r="H15" s="156" t="s">
        <v>268</v>
      </c>
      <c r="I15" s="156" t="s">
        <v>1094</v>
      </c>
      <c r="K15" t="s">
        <v>633</v>
      </c>
      <c r="L15" s="156" t="s">
        <v>369</v>
      </c>
      <c r="M15" s="171" t="s">
        <v>285</v>
      </c>
      <c r="N15" s="171" t="s">
        <v>110</v>
      </c>
      <c r="O15" s="156" t="s">
        <v>634</v>
      </c>
      <c r="P15" s="156" t="s">
        <v>575</v>
      </c>
    </row>
    <row r="16" spans="1:16" ht="12.75">
      <c r="A16" s="155" t="s">
        <v>1179</v>
      </c>
      <c r="B16" s="168">
        <v>24</v>
      </c>
      <c r="C16" s="168">
        <v>3</v>
      </c>
      <c r="D16" t="s">
        <v>936</v>
      </c>
      <c r="E16" s="171" t="s">
        <v>1086</v>
      </c>
      <c r="F16" s="171" t="s">
        <v>1092</v>
      </c>
      <c r="G16" s="171" t="s">
        <v>963</v>
      </c>
      <c r="H16" s="156" t="s">
        <v>268</v>
      </c>
      <c r="I16" s="156" t="s">
        <v>1094</v>
      </c>
      <c r="K16" t="s">
        <v>576</v>
      </c>
      <c r="L16" s="156" t="s">
        <v>369</v>
      </c>
      <c r="M16" s="171" t="s">
        <v>1093</v>
      </c>
      <c r="N16" s="171" t="s">
        <v>577</v>
      </c>
      <c r="O16" s="156" t="s">
        <v>578</v>
      </c>
      <c r="P16" s="156" t="s">
        <v>637</v>
      </c>
    </row>
    <row r="17" spans="1:16" ht="12.75">
      <c r="A17" s="155" t="s">
        <v>1129</v>
      </c>
      <c r="B17" s="168">
        <v>20</v>
      </c>
      <c r="C17" s="168">
        <v>3</v>
      </c>
      <c r="D17" t="s">
        <v>936</v>
      </c>
      <c r="E17" s="171" t="s">
        <v>1086</v>
      </c>
      <c r="F17" s="171" t="s">
        <v>1092</v>
      </c>
      <c r="G17" s="171" t="s">
        <v>963</v>
      </c>
      <c r="H17" s="156" t="s">
        <v>268</v>
      </c>
      <c r="I17" s="156" t="s">
        <v>1094</v>
      </c>
      <c r="K17" t="s">
        <v>13</v>
      </c>
      <c r="L17" s="156" t="s">
        <v>490</v>
      </c>
      <c r="M17" s="171" t="s">
        <v>943</v>
      </c>
      <c r="N17" s="171" t="s">
        <v>1094</v>
      </c>
      <c r="O17" s="156" t="s">
        <v>1095</v>
      </c>
      <c r="P17" s="156" t="s">
        <v>875</v>
      </c>
    </row>
    <row r="18" spans="1:16" ht="12.75">
      <c r="A18" s="155" t="s">
        <v>720</v>
      </c>
      <c r="B18" s="168">
        <v>10</v>
      </c>
      <c r="C18" s="168">
        <v>3</v>
      </c>
      <c r="D18" t="s">
        <v>936</v>
      </c>
      <c r="E18" s="171" t="s">
        <v>1086</v>
      </c>
      <c r="F18" s="171" t="s">
        <v>1092</v>
      </c>
      <c r="G18" s="171" t="s">
        <v>963</v>
      </c>
      <c r="H18" s="156" t="s">
        <v>268</v>
      </c>
      <c r="I18" s="156" t="s">
        <v>1094</v>
      </c>
      <c r="K18" t="s">
        <v>638</v>
      </c>
      <c r="L18" s="156" t="s">
        <v>490</v>
      </c>
      <c r="M18" s="171" t="s">
        <v>639</v>
      </c>
      <c r="N18" s="171" t="s">
        <v>640</v>
      </c>
      <c r="O18" s="156" t="s">
        <v>578</v>
      </c>
      <c r="P18" s="156" t="s">
        <v>641</v>
      </c>
    </row>
    <row r="19" spans="1:9" ht="12.75">
      <c r="A19" s="155" t="s">
        <v>902</v>
      </c>
      <c r="B19" s="168">
        <v>18</v>
      </c>
      <c r="C19" s="168">
        <v>3</v>
      </c>
      <c r="D19" t="s">
        <v>936</v>
      </c>
      <c r="E19" s="171" t="s">
        <v>1086</v>
      </c>
      <c r="F19" s="171" t="s">
        <v>1092</v>
      </c>
      <c r="G19" s="171" t="s">
        <v>963</v>
      </c>
      <c r="H19" s="156" t="s">
        <v>268</v>
      </c>
      <c r="I19" s="156" t="s">
        <v>1094</v>
      </c>
    </row>
    <row r="20" spans="1:9" ht="12.75">
      <c r="A20" s="155" t="s">
        <v>903</v>
      </c>
      <c r="B20" s="168">
        <v>16</v>
      </c>
      <c r="C20" s="168">
        <v>3</v>
      </c>
      <c r="D20" t="s">
        <v>936</v>
      </c>
      <c r="E20" s="171" t="s">
        <v>1086</v>
      </c>
      <c r="F20" s="171" t="s">
        <v>1092</v>
      </c>
      <c r="G20" s="171" t="s">
        <v>963</v>
      </c>
      <c r="H20" s="156" t="s">
        <v>268</v>
      </c>
      <c r="I20" s="156" t="s">
        <v>1094</v>
      </c>
    </row>
    <row r="21" spans="1:9" ht="12.75">
      <c r="A21" s="155" t="s">
        <v>940</v>
      </c>
      <c r="B21" s="168">
        <v>10</v>
      </c>
      <c r="C21" s="168">
        <v>3</v>
      </c>
      <c r="D21" t="s">
        <v>936</v>
      </c>
      <c r="E21" s="171" t="s">
        <v>1086</v>
      </c>
      <c r="F21" s="171" t="s">
        <v>1092</v>
      </c>
      <c r="G21" s="171" t="s">
        <v>963</v>
      </c>
      <c r="H21" s="156" t="s">
        <v>268</v>
      </c>
      <c r="I21" s="156" t="s">
        <v>1094</v>
      </c>
    </row>
    <row r="22" spans="1:9" ht="12.75">
      <c r="A22" s="155" t="s">
        <v>398</v>
      </c>
      <c r="B22" s="168">
        <v>14</v>
      </c>
      <c r="C22" s="168">
        <v>3</v>
      </c>
      <c r="D22" t="s">
        <v>936</v>
      </c>
      <c r="E22" s="171" t="s">
        <v>1086</v>
      </c>
      <c r="F22" s="171" t="s">
        <v>1092</v>
      </c>
      <c r="G22" s="171" t="s">
        <v>963</v>
      </c>
      <c r="H22" s="156" t="s">
        <v>268</v>
      </c>
      <c r="I22" s="156" t="s">
        <v>1094</v>
      </c>
    </row>
    <row r="23" spans="1:9" ht="12.75">
      <c r="A23" s="155" t="s">
        <v>721</v>
      </c>
      <c r="B23" s="168">
        <v>12</v>
      </c>
      <c r="C23" s="168">
        <v>3</v>
      </c>
      <c r="D23" t="s">
        <v>936</v>
      </c>
      <c r="E23" s="171" t="s">
        <v>1086</v>
      </c>
      <c r="F23" s="171" t="s">
        <v>1092</v>
      </c>
      <c r="G23" s="171" t="s">
        <v>963</v>
      </c>
      <c r="H23" s="156" t="s">
        <v>268</v>
      </c>
      <c r="I23" s="156" t="s">
        <v>1094</v>
      </c>
    </row>
    <row r="24" spans="1:9" ht="12.75">
      <c r="A24" s="155" t="s">
        <v>941</v>
      </c>
      <c r="B24" s="168">
        <v>10</v>
      </c>
      <c r="C24" s="168">
        <v>3</v>
      </c>
      <c r="D24" t="s">
        <v>936</v>
      </c>
      <c r="E24" s="171" t="s">
        <v>1086</v>
      </c>
      <c r="F24" s="171" t="s">
        <v>1092</v>
      </c>
      <c r="G24" s="171" t="s">
        <v>963</v>
      </c>
      <c r="H24" s="156" t="s">
        <v>268</v>
      </c>
      <c r="I24" s="156" t="s">
        <v>1094</v>
      </c>
    </row>
    <row r="25" spans="1:9" ht="12.75">
      <c r="A25" s="155" t="s">
        <v>182</v>
      </c>
      <c r="B25" s="168">
        <v>8</v>
      </c>
      <c r="C25" s="168">
        <v>3</v>
      </c>
      <c r="D25" t="s">
        <v>936</v>
      </c>
      <c r="E25" s="171" t="s">
        <v>1086</v>
      </c>
      <c r="F25" s="171" t="s">
        <v>1092</v>
      </c>
      <c r="G25" s="171" t="s">
        <v>963</v>
      </c>
      <c r="H25" s="156" t="s">
        <v>268</v>
      </c>
      <c r="I25" s="156" t="s">
        <v>1094</v>
      </c>
    </row>
    <row r="26" spans="1:9" ht="12.75">
      <c r="A26" s="155" t="s">
        <v>181</v>
      </c>
      <c r="B26" s="168">
        <v>8</v>
      </c>
      <c r="C26" s="168">
        <v>3</v>
      </c>
      <c r="D26" t="s">
        <v>936</v>
      </c>
      <c r="E26" s="171" t="s">
        <v>1086</v>
      </c>
      <c r="F26" s="171" t="s">
        <v>1092</v>
      </c>
      <c r="G26" s="171" t="s">
        <v>963</v>
      </c>
      <c r="H26" s="156" t="s">
        <v>268</v>
      </c>
      <c r="I26" s="156" t="s">
        <v>1094</v>
      </c>
    </row>
    <row r="27" spans="1:9" ht="12.75">
      <c r="A27" s="155" t="s">
        <v>20</v>
      </c>
      <c r="B27" s="168">
        <v>8</v>
      </c>
      <c r="C27" s="168">
        <v>3</v>
      </c>
      <c r="D27" t="s">
        <v>936</v>
      </c>
      <c r="E27" s="171" t="s">
        <v>1086</v>
      </c>
      <c r="F27" s="171" t="s">
        <v>1092</v>
      </c>
      <c r="G27" s="171" t="s">
        <v>963</v>
      </c>
      <c r="H27" s="156" t="s">
        <v>268</v>
      </c>
      <c r="I27" s="156" t="s">
        <v>1094</v>
      </c>
    </row>
    <row r="28" spans="1:9" ht="12.75">
      <c r="A28" s="155" t="s">
        <v>21</v>
      </c>
      <c r="B28" s="168">
        <v>8</v>
      </c>
      <c r="C28" s="168">
        <v>3</v>
      </c>
      <c r="D28" t="s">
        <v>936</v>
      </c>
      <c r="E28" s="171" t="s">
        <v>1086</v>
      </c>
      <c r="F28" s="171" t="s">
        <v>1092</v>
      </c>
      <c r="G28" s="171" t="s">
        <v>963</v>
      </c>
      <c r="H28" s="156" t="s">
        <v>268</v>
      </c>
      <c r="I28" s="156" t="s">
        <v>1094</v>
      </c>
    </row>
    <row r="29" spans="1:9" ht="12.75">
      <c r="A29" s="155" t="s">
        <v>22</v>
      </c>
      <c r="B29" s="168">
        <v>7</v>
      </c>
      <c r="C29" s="168">
        <v>3</v>
      </c>
      <c r="D29" t="s">
        <v>936</v>
      </c>
      <c r="E29" s="171" t="s">
        <v>1086</v>
      </c>
      <c r="F29" s="171" t="s">
        <v>1092</v>
      </c>
      <c r="G29" s="171" t="s">
        <v>963</v>
      </c>
      <c r="H29" s="156" t="s">
        <v>268</v>
      </c>
      <c r="I29" s="156" t="s">
        <v>1094</v>
      </c>
    </row>
    <row r="30" spans="1:9" ht="12.75">
      <c r="A30" s="155" t="s">
        <v>23</v>
      </c>
      <c r="B30" s="168">
        <v>20</v>
      </c>
      <c r="C30" s="168">
        <v>3</v>
      </c>
      <c r="D30" t="s">
        <v>936</v>
      </c>
      <c r="E30" s="171" t="s">
        <v>1086</v>
      </c>
      <c r="F30" s="171" t="s">
        <v>1092</v>
      </c>
      <c r="G30" s="171" t="s">
        <v>963</v>
      </c>
      <c r="H30" s="156" t="s">
        <v>268</v>
      </c>
      <c r="I30" s="156" t="s">
        <v>1094</v>
      </c>
    </row>
    <row r="31" spans="1:9" ht="12.75">
      <c r="A31" s="155" t="s">
        <v>186</v>
      </c>
      <c r="B31" s="168">
        <v>8</v>
      </c>
      <c r="C31" s="168">
        <v>3</v>
      </c>
      <c r="D31" t="s">
        <v>936</v>
      </c>
      <c r="E31" s="171" t="s">
        <v>1086</v>
      </c>
      <c r="F31" s="171" t="s">
        <v>1092</v>
      </c>
      <c r="G31" s="171" t="s">
        <v>963</v>
      </c>
      <c r="H31" s="156" t="s">
        <v>268</v>
      </c>
      <c r="I31" s="156" t="s">
        <v>1094</v>
      </c>
    </row>
    <row r="32" spans="1:9" ht="12.75">
      <c r="A32" s="155" t="s">
        <v>24</v>
      </c>
      <c r="B32" s="168">
        <v>16</v>
      </c>
      <c r="C32" s="168">
        <v>3</v>
      </c>
      <c r="D32" t="s">
        <v>936</v>
      </c>
      <c r="E32" s="171" t="s">
        <v>1086</v>
      </c>
      <c r="F32" s="171" t="s">
        <v>1092</v>
      </c>
      <c r="G32" s="171" t="s">
        <v>963</v>
      </c>
      <c r="H32" s="156" t="s">
        <v>268</v>
      </c>
      <c r="I32" s="156" t="s">
        <v>1094</v>
      </c>
    </row>
    <row r="33" spans="1:9" ht="12.75">
      <c r="A33" s="155" t="s">
        <v>25</v>
      </c>
      <c r="B33" s="168">
        <v>14</v>
      </c>
      <c r="C33" s="168">
        <v>3</v>
      </c>
      <c r="D33" t="s">
        <v>936</v>
      </c>
      <c r="E33" s="171" t="s">
        <v>1086</v>
      </c>
      <c r="F33" s="171" t="s">
        <v>1092</v>
      </c>
      <c r="G33" s="171" t="s">
        <v>963</v>
      </c>
      <c r="H33" s="156" t="s">
        <v>268</v>
      </c>
      <c r="I33" s="156" t="s">
        <v>1094</v>
      </c>
    </row>
    <row r="34" spans="1:9" ht="12.75">
      <c r="A34" s="155" t="s">
        <v>187</v>
      </c>
      <c r="B34" s="168">
        <v>8</v>
      </c>
      <c r="C34" s="168">
        <v>3</v>
      </c>
      <c r="D34" t="s">
        <v>936</v>
      </c>
      <c r="E34" s="171" t="s">
        <v>1086</v>
      </c>
      <c r="F34" s="171" t="s">
        <v>1092</v>
      </c>
      <c r="G34" s="171" t="s">
        <v>963</v>
      </c>
      <c r="H34" s="156" t="s">
        <v>268</v>
      </c>
      <c r="I34" s="156" t="s">
        <v>1094</v>
      </c>
    </row>
    <row r="35" spans="1:9" ht="12.75">
      <c r="A35" s="155" t="s">
        <v>26</v>
      </c>
      <c r="B35" s="168">
        <v>12</v>
      </c>
      <c r="C35" s="168">
        <v>3</v>
      </c>
      <c r="D35" t="s">
        <v>936</v>
      </c>
      <c r="E35" s="171" t="s">
        <v>1086</v>
      </c>
      <c r="F35" s="171" t="s">
        <v>1092</v>
      </c>
      <c r="G35" s="171" t="s">
        <v>963</v>
      </c>
      <c r="H35" s="156" t="s">
        <v>268</v>
      </c>
      <c r="I35" s="156" t="s">
        <v>1094</v>
      </c>
    </row>
    <row r="36" spans="1:9" ht="12.75">
      <c r="A36" s="155" t="s">
        <v>188</v>
      </c>
      <c r="B36" s="168">
        <v>8</v>
      </c>
      <c r="C36" s="168">
        <v>3</v>
      </c>
      <c r="D36" t="s">
        <v>936</v>
      </c>
      <c r="E36" s="171" t="s">
        <v>1086</v>
      </c>
      <c r="F36" s="171" t="s">
        <v>1092</v>
      </c>
      <c r="G36" s="171" t="s">
        <v>963</v>
      </c>
      <c r="H36" s="156" t="s">
        <v>268</v>
      </c>
      <c r="I36" s="156" t="s">
        <v>1094</v>
      </c>
    </row>
    <row r="37" spans="1:9" ht="12.75">
      <c r="A37" s="155" t="s">
        <v>396</v>
      </c>
      <c r="B37" s="168">
        <v>8</v>
      </c>
      <c r="C37" s="168">
        <v>3</v>
      </c>
      <c r="D37" t="s">
        <v>936</v>
      </c>
      <c r="E37" s="171" t="s">
        <v>1086</v>
      </c>
      <c r="F37" s="171" t="s">
        <v>1092</v>
      </c>
      <c r="G37" s="171" t="s">
        <v>963</v>
      </c>
      <c r="H37" s="156" t="s">
        <v>268</v>
      </c>
      <c r="I37" s="156" t="s">
        <v>1094</v>
      </c>
    </row>
    <row r="38" spans="1:9" ht="12.75">
      <c r="A38" s="155" t="s">
        <v>382</v>
      </c>
      <c r="B38" s="168">
        <v>8</v>
      </c>
      <c r="C38" s="168">
        <v>3</v>
      </c>
      <c r="D38" t="s">
        <v>936</v>
      </c>
      <c r="E38" s="171" t="s">
        <v>1086</v>
      </c>
      <c r="F38" s="171" t="s">
        <v>1092</v>
      </c>
      <c r="G38" s="171" t="s">
        <v>963</v>
      </c>
      <c r="H38" s="156" t="s">
        <v>268</v>
      </c>
      <c r="I38" s="156" t="s">
        <v>1094</v>
      </c>
    </row>
    <row r="39" spans="1:9" ht="12.75">
      <c r="A39" s="155" t="s">
        <v>383</v>
      </c>
      <c r="B39" s="168">
        <v>8</v>
      </c>
      <c r="C39" s="168">
        <v>3</v>
      </c>
      <c r="D39" t="s">
        <v>936</v>
      </c>
      <c r="E39" s="171" t="s">
        <v>1086</v>
      </c>
      <c r="F39" s="171" t="s">
        <v>1092</v>
      </c>
      <c r="G39" s="171" t="s">
        <v>963</v>
      </c>
      <c r="H39" s="156" t="s">
        <v>268</v>
      </c>
      <c r="I39" s="156" t="s">
        <v>1094</v>
      </c>
    </row>
    <row r="40" spans="1:9" ht="12.75">
      <c r="A40" s="155" t="s">
        <v>384</v>
      </c>
      <c r="B40" s="168">
        <v>5</v>
      </c>
      <c r="C40" s="168">
        <v>3</v>
      </c>
      <c r="D40" t="s">
        <v>936</v>
      </c>
      <c r="E40" s="171" t="s">
        <v>1086</v>
      </c>
      <c r="F40" s="171" t="s">
        <v>1092</v>
      </c>
      <c r="G40" s="171" t="s">
        <v>963</v>
      </c>
      <c r="H40" s="156" t="s">
        <v>268</v>
      </c>
      <c r="I40" s="156" t="s">
        <v>1094</v>
      </c>
    </row>
    <row r="41" spans="1:9" ht="12.75">
      <c r="A41" s="155" t="s">
        <v>388</v>
      </c>
      <c r="B41" s="168">
        <v>8</v>
      </c>
      <c r="C41" s="168">
        <v>3</v>
      </c>
      <c r="D41" t="s">
        <v>936</v>
      </c>
      <c r="E41" s="171" t="s">
        <v>1086</v>
      </c>
      <c r="F41" s="171" t="s">
        <v>1092</v>
      </c>
      <c r="G41" s="171" t="s">
        <v>963</v>
      </c>
      <c r="H41" s="156" t="s">
        <v>268</v>
      </c>
      <c r="I41" s="156" t="s">
        <v>1094</v>
      </c>
    </row>
    <row r="42" spans="1:9" ht="12.75">
      <c r="A42" s="155" t="s">
        <v>385</v>
      </c>
      <c r="B42" s="168">
        <v>16</v>
      </c>
      <c r="C42" s="168">
        <v>3</v>
      </c>
      <c r="D42" t="s">
        <v>936</v>
      </c>
      <c r="E42" s="171" t="s">
        <v>1086</v>
      </c>
      <c r="F42" s="171" t="s">
        <v>1092</v>
      </c>
      <c r="G42" s="171" t="s">
        <v>963</v>
      </c>
      <c r="H42" s="156" t="s">
        <v>268</v>
      </c>
      <c r="I42" s="156" t="s">
        <v>1094</v>
      </c>
    </row>
    <row r="43" spans="1:9" ht="12.75">
      <c r="A43" s="155" t="s">
        <v>386</v>
      </c>
      <c r="B43" s="168">
        <v>14</v>
      </c>
      <c r="C43" s="168">
        <v>3</v>
      </c>
      <c r="D43" t="s">
        <v>936</v>
      </c>
      <c r="E43" s="171" t="s">
        <v>1086</v>
      </c>
      <c r="F43" s="171" t="s">
        <v>1092</v>
      </c>
      <c r="G43" s="171" t="s">
        <v>963</v>
      </c>
      <c r="H43" s="156" t="s">
        <v>268</v>
      </c>
      <c r="I43" s="156" t="s">
        <v>1094</v>
      </c>
    </row>
    <row r="44" spans="1:9" ht="12.75">
      <c r="A44" s="155" t="s">
        <v>733</v>
      </c>
      <c r="B44" s="168">
        <v>8</v>
      </c>
      <c r="C44" s="168">
        <v>3</v>
      </c>
      <c r="D44" t="s">
        <v>936</v>
      </c>
      <c r="E44" s="171" t="s">
        <v>1086</v>
      </c>
      <c r="F44" s="171" t="s">
        <v>1092</v>
      </c>
      <c r="G44" s="171" t="s">
        <v>963</v>
      </c>
      <c r="H44" s="156" t="s">
        <v>268</v>
      </c>
      <c r="I44" s="156" t="s">
        <v>1094</v>
      </c>
    </row>
    <row r="45" spans="1:9" ht="12.75">
      <c r="A45" s="155" t="s">
        <v>387</v>
      </c>
      <c r="B45" s="168">
        <v>12</v>
      </c>
      <c r="C45" s="168">
        <v>3</v>
      </c>
      <c r="D45" t="s">
        <v>936</v>
      </c>
      <c r="E45" s="171" t="s">
        <v>1086</v>
      </c>
      <c r="F45" s="171" t="s">
        <v>1092</v>
      </c>
      <c r="G45" s="171" t="s">
        <v>963</v>
      </c>
      <c r="H45" s="156" t="s">
        <v>268</v>
      </c>
      <c r="I45" s="156" t="s">
        <v>1094</v>
      </c>
    </row>
    <row r="46" spans="1:9" ht="12.75">
      <c r="A46" s="155" t="s">
        <v>688</v>
      </c>
      <c r="B46" s="168">
        <v>8</v>
      </c>
      <c r="C46" s="168">
        <v>3</v>
      </c>
      <c r="D46" t="s">
        <v>936</v>
      </c>
      <c r="E46" s="171" t="s">
        <v>1086</v>
      </c>
      <c r="F46" s="171" t="s">
        <v>1092</v>
      </c>
      <c r="G46" s="171" t="s">
        <v>963</v>
      </c>
      <c r="H46" s="156" t="s">
        <v>268</v>
      </c>
      <c r="I46" s="156" t="s">
        <v>1094</v>
      </c>
    </row>
    <row r="47" spans="1:9" ht="12.75">
      <c r="A47" s="155" t="s">
        <v>481</v>
      </c>
      <c r="B47" s="168">
        <v>8</v>
      </c>
      <c r="C47" s="168">
        <v>3</v>
      </c>
      <c r="D47" t="s">
        <v>936</v>
      </c>
      <c r="E47" s="171" t="s">
        <v>1086</v>
      </c>
      <c r="F47" s="171" t="s">
        <v>1092</v>
      </c>
      <c r="G47" s="171" t="s">
        <v>963</v>
      </c>
      <c r="H47" s="156" t="s">
        <v>268</v>
      </c>
      <c r="I47" s="156" t="s">
        <v>1094</v>
      </c>
    </row>
    <row r="48" spans="1:9" ht="12.75">
      <c r="A48" s="155" t="s">
        <v>482</v>
      </c>
      <c r="B48" s="168">
        <v>8</v>
      </c>
      <c r="C48" s="168">
        <v>3</v>
      </c>
      <c r="D48" t="s">
        <v>936</v>
      </c>
      <c r="E48" s="171" t="s">
        <v>1086</v>
      </c>
      <c r="F48" s="171" t="s">
        <v>1092</v>
      </c>
      <c r="G48" s="171" t="s">
        <v>963</v>
      </c>
      <c r="H48" s="156" t="s">
        <v>268</v>
      </c>
      <c r="I48" s="156" t="s">
        <v>1094</v>
      </c>
    </row>
    <row r="49" spans="1:9" ht="12.75">
      <c r="A49" s="155" t="s">
        <v>483</v>
      </c>
      <c r="B49" s="168">
        <v>8</v>
      </c>
      <c r="C49" s="168">
        <v>3</v>
      </c>
      <c r="D49" t="s">
        <v>936</v>
      </c>
      <c r="E49" s="171" t="s">
        <v>1086</v>
      </c>
      <c r="F49" s="171" t="s">
        <v>1092</v>
      </c>
      <c r="G49" s="171" t="s">
        <v>963</v>
      </c>
      <c r="H49" s="156" t="s">
        <v>268</v>
      </c>
      <c r="I49" s="156" t="s">
        <v>1094</v>
      </c>
    </row>
    <row r="50" spans="1:9" ht="12.75">
      <c r="A50" s="155" t="s">
        <v>413</v>
      </c>
      <c r="B50" s="168">
        <v>5</v>
      </c>
      <c r="C50" s="168">
        <v>3</v>
      </c>
      <c r="D50" t="s">
        <v>936</v>
      </c>
      <c r="E50" s="171" t="s">
        <v>1086</v>
      </c>
      <c r="F50" s="171" t="s">
        <v>1092</v>
      </c>
      <c r="G50" s="171" t="s">
        <v>963</v>
      </c>
      <c r="H50" s="156" t="s">
        <v>268</v>
      </c>
      <c r="I50" s="156" t="s">
        <v>1094</v>
      </c>
    </row>
    <row r="51" spans="1:9" ht="12.75">
      <c r="A51" s="155" t="s">
        <v>414</v>
      </c>
      <c r="B51" s="168">
        <v>8</v>
      </c>
      <c r="C51" s="168">
        <v>3</v>
      </c>
      <c r="D51" t="s">
        <v>936</v>
      </c>
      <c r="E51" s="171" t="s">
        <v>1086</v>
      </c>
      <c r="F51" s="171" t="s">
        <v>1092</v>
      </c>
      <c r="G51" s="171" t="s">
        <v>963</v>
      </c>
      <c r="H51" s="156" t="s">
        <v>268</v>
      </c>
      <c r="I51" s="156" t="s">
        <v>1094</v>
      </c>
    </row>
    <row r="52" spans="1:9" ht="12.75">
      <c r="A52" s="155" t="s">
        <v>415</v>
      </c>
      <c r="B52" s="168">
        <v>8</v>
      </c>
      <c r="C52" s="168">
        <v>3</v>
      </c>
      <c r="D52" t="s">
        <v>936</v>
      </c>
      <c r="E52" s="171" t="s">
        <v>1086</v>
      </c>
      <c r="F52" s="171" t="s">
        <v>1092</v>
      </c>
      <c r="G52" s="171" t="s">
        <v>963</v>
      </c>
      <c r="H52" s="156" t="s">
        <v>268</v>
      </c>
      <c r="I52" s="156" t="s">
        <v>1094</v>
      </c>
    </row>
    <row r="53" spans="1:9" ht="12.75">
      <c r="A53" s="155" t="s">
        <v>625</v>
      </c>
      <c r="B53" s="168">
        <v>8</v>
      </c>
      <c r="C53" s="168">
        <v>3</v>
      </c>
      <c r="D53" t="s">
        <v>936</v>
      </c>
      <c r="E53" s="171" t="s">
        <v>1086</v>
      </c>
      <c r="F53" s="171" t="s">
        <v>1092</v>
      </c>
      <c r="G53" s="171" t="s">
        <v>963</v>
      </c>
      <c r="H53" s="156" t="s">
        <v>268</v>
      </c>
      <c r="I53" s="156" t="s">
        <v>1094</v>
      </c>
    </row>
    <row r="54" spans="1:9" ht="12.75">
      <c r="A54" s="155" t="s">
        <v>626</v>
      </c>
      <c r="B54" s="168">
        <v>8</v>
      </c>
      <c r="C54" s="168">
        <v>3</v>
      </c>
      <c r="D54" t="s">
        <v>936</v>
      </c>
      <c r="E54" s="171" t="s">
        <v>1086</v>
      </c>
      <c r="F54" s="171" t="s">
        <v>1092</v>
      </c>
      <c r="G54" s="171" t="s">
        <v>963</v>
      </c>
      <c r="H54" s="156" t="s">
        <v>268</v>
      </c>
      <c r="I54" s="156" t="s">
        <v>1094</v>
      </c>
    </row>
    <row r="55" spans="1:9" ht="12.75">
      <c r="A55" s="155" t="s">
        <v>1180</v>
      </c>
      <c r="B55" s="168">
        <v>8</v>
      </c>
      <c r="C55" s="168">
        <v>3</v>
      </c>
      <c r="D55" t="s">
        <v>936</v>
      </c>
      <c r="E55" s="171" t="s">
        <v>1086</v>
      </c>
      <c r="F55" s="171" t="s">
        <v>1092</v>
      </c>
      <c r="G55" s="171" t="s">
        <v>963</v>
      </c>
      <c r="H55" s="156" t="s">
        <v>268</v>
      </c>
      <c r="I55" s="156" t="s">
        <v>1094</v>
      </c>
    </row>
    <row r="56" spans="1:9" ht="12.75">
      <c r="A56" s="155" t="s">
        <v>689</v>
      </c>
      <c r="B56" s="168">
        <v>6</v>
      </c>
      <c r="C56" s="168">
        <v>3</v>
      </c>
      <c r="D56" t="s">
        <v>936</v>
      </c>
      <c r="E56" s="171" t="s">
        <v>1086</v>
      </c>
      <c r="F56" s="171" t="s">
        <v>1092</v>
      </c>
      <c r="G56" s="171" t="s">
        <v>963</v>
      </c>
      <c r="H56" s="156" t="s">
        <v>268</v>
      </c>
      <c r="I56" s="156" t="s">
        <v>1094</v>
      </c>
    </row>
    <row r="57" spans="1:9" ht="12.75">
      <c r="A57" s="182" t="s">
        <v>1156</v>
      </c>
      <c r="B57" s="168">
        <v>3</v>
      </c>
      <c r="C57" s="168">
        <v>3</v>
      </c>
      <c r="D57" t="s">
        <v>935</v>
      </c>
      <c r="E57" s="171" t="s">
        <v>1086</v>
      </c>
      <c r="F57" s="171" t="s">
        <v>873</v>
      </c>
      <c r="G57" s="171" t="s">
        <v>270</v>
      </c>
      <c r="H57" s="156" t="s">
        <v>271</v>
      </c>
      <c r="I57" s="156" t="s">
        <v>875</v>
      </c>
    </row>
    <row r="58" spans="1:9" ht="12.75">
      <c r="A58" s="182" t="s">
        <v>933</v>
      </c>
      <c r="B58" s="168">
        <v>3</v>
      </c>
      <c r="C58" s="168">
        <v>3</v>
      </c>
      <c r="D58" t="s">
        <v>935</v>
      </c>
      <c r="E58" s="171" t="s">
        <v>1086</v>
      </c>
      <c r="F58" s="171" t="s">
        <v>873</v>
      </c>
      <c r="G58" s="171" t="s">
        <v>270</v>
      </c>
      <c r="H58" s="156" t="s">
        <v>271</v>
      </c>
      <c r="I58" s="156" t="s">
        <v>875</v>
      </c>
    </row>
    <row r="59" spans="1:9" ht="12.75">
      <c r="A59" s="182" t="s">
        <v>1166</v>
      </c>
      <c r="B59" s="168">
        <v>4</v>
      </c>
      <c r="C59" s="168">
        <v>3</v>
      </c>
      <c r="D59" t="s">
        <v>935</v>
      </c>
      <c r="E59" s="171" t="s">
        <v>1086</v>
      </c>
      <c r="F59" s="171" t="s">
        <v>873</v>
      </c>
      <c r="G59" s="171" t="s">
        <v>270</v>
      </c>
      <c r="H59" s="156" t="s">
        <v>271</v>
      </c>
      <c r="I59" s="156" t="s">
        <v>875</v>
      </c>
    </row>
    <row r="60" spans="1:9" ht="12.75">
      <c r="A60" s="182" t="s">
        <v>1168</v>
      </c>
      <c r="B60" s="168">
        <v>4</v>
      </c>
      <c r="C60" s="168">
        <v>3</v>
      </c>
      <c r="D60" t="s">
        <v>935</v>
      </c>
      <c r="E60" s="171" t="s">
        <v>1086</v>
      </c>
      <c r="F60" s="171" t="s">
        <v>873</v>
      </c>
      <c r="G60" s="171" t="s">
        <v>270</v>
      </c>
      <c r="H60" s="156" t="s">
        <v>271</v>
      </c>
      <c r="I60" s="156" t="s">
        <v>875</v>
      </c>
    </row>
    <row r="61" spans="1:9" ht="12.75">
      <c r="A61" s="182" t="s">
        <v>938</v>
      </c>
      <c r="B61" s="168">
        <v>5</v>
      </c>
      <c r="C61" s="168">
        <v>3</v>
      </c>
      <c r="D61" t="s">
        <v>935</v>
      </c>
      <c r="E61" s="171" t="s">
        <v>1086</v>
      </c>
      <c r="F61" s="171" t="s">
        <v>873</v>
      </c>
      <c r="G61" s="171" t="s">
        <v>270</v>
      </c>
      <c r="H61" s="156" t="s">
        <v>271</v>
      </c>
      <c r="I61" s="156" t="s">
        <v>875</v>
      </c>
    </row>
    <row r="62" spans="1:9" ht="12.75">
      <c r="A62" s="182" t="s">
        <v>923</v>
      </c>
      <c r="B62" s="168">
        <v>6</v>
      </c>
      <c r="C62" s="168">
        <v>7</v>
      </c>
      <c r="D62" t="s">
        <v>935</v>
      </c>
      <c r="E62" s="171" t="s">
        <v>961</v>
      </c>
      <c r="F62" s="172" t="s">
        <v>962</v>
      </c>
      <c r="G62" s="171" t="s">
        <v>283</v>
      </c>
      <c r="H62" s="156" t="s">
        <v>970</v>
      </c>
      <c r="I62" s="156" t="s">
        <v>983</v>
      </c>
    </row>
    <row r="63" spans="1:9" ht="12.75">
      <c r="A63" s="182" t="s">
        <v>932</v>
      </c>
      <c r="B63" s="168">
        <v>6</v>
      </c>
      <c r="C63" s="168">
        <v>7</v>
      </c>
      <c r="D63" t="s">
        <v>935</v>
      </c>
      <c r="E63" s="171" t="s">
        <v>961</v>
      </c>
      <c r="F63" s="172" t="s">
        <v>962</v>
      </c>
      <c r="G63" s="171" t="s">
        <v>283</v>
      </c>
      <c r="H63" s="156" t="s">
        <v>970</v>
      </c>
      <c r="I63" s="156" t="s">
        <v>983</v>
      </c>
    </row>
    <row r="64" spans="1:9" ht="12.75">
      <c r="A64" s="182" t="s">
        <v>1165</v>
      </c>
      <c r="B64" s="168">
        <v>6</v>
      </c>
      <c r="C64" s="168">
        <v>7</v>
      </c>
      <c r="D64" t="s">
        <v>935</v>
      </c>
      <c r="E64" s="171" t="s">
        <v>961</v>
      </c>
      <c r="F64" s="172" t="s">
        <v>962</v>
      </c>
      <c r="G64" s="171" t="s">
        <v>283</v>
      </c>
      <c r="H64" s="156" t="s">
        <v>970</v>
      </c>
      <c r="I64" s="156" t="s">
        <v>983</v>
      </c>
    </row>
    <row r="65" spans="1:9" ht="12.75">
      <c r="A65" s="182" t="s">
        <v>1167</v>
      </c>
      <c r="B65" s="168">
        <v>7</v>
      </c>
      <c r="C65" s="168">
        <v>7</v>
      </c>
      <c r="D65" t="s">
        <v>935</v>
      </c>
      <c r="E65" s="171" t="s">
        <v>961</v>
      </c>
      <c r="F65" s="172" t="s">
        <v>962</v>
      </c>
      <c r="G65" s="171" t="s">
        <v>283</v>
      </c>
      <c r="H65" s="156" t="s">
        <v>970</v>
      </c>
      <c r="I65" s="156" t="s">
        <v>983</v>
      </c>
    </row>
    <row r="66" spans="1:9" ht="12.75">
      <c r="A66" s="182" t="s">
        <v>1169</v>
      </c>
      <c r="B66" s="168">
        <v>7</v>
      </c>
      <c r="C66" s="168">
        <v>7</v>
      </c>
      <c r="D66" t="s">
        <v>935</v>
      </c>
      <c r="E66" s="171" t="s">
        <v>961</v>
      </c>
      <c r="F66" s="172" t="s">
        <v>962</v>
      </c>
      <c r="G66" s="171" t="s">
        <v>283</v>
      </c>
      <c r="H66" s="156" t="s">
        <v>970</v>
      </c>
      <c r="I66" s="156" t="s">
        <v>983</v>
      </c>
    </row>
    <row r="67" spans="1:9" ht="12.75">
      <c r="A67" t="s">
        <v>64</v>
      </c>
      <c r="B67" s="156">
        <v>20</v>
      </c>
      <c r="C67" s="156">
        <v>0</v>
      </c>
      <c r="D67" s="156" t="s">
        <v>63</v>
      </c>
      <c r="E67" s="156" t="s">
        <v>369</v>
      </c>
      <c r="F67" s="171" t="s">
        <v>1093</v>
      </c>
      <c r="G67" s="171" t="s">
        <v>577</v>
      </c>
      <c r="H67" s="156" t="s">
        <v>578</v>
      </c>
      <c r="I67" s="156" t="s">
        <v>637</v>
      </c>
    </row>
    <row r="68" spans="1:9" ht="12.75">
      <c r="A68" t="s">
        <v>113</v>
      </c>
      <c r="B68" s="156">
        <v>15</v>
      </c>
      <c r="C68" s="156">
        <v>0</v>
      </c>
      <c r="D68" s="156" t="s">
        <v>63</v>
      </c>
      <c r="E68" s="156" t="s">
        <v>369</v>
      </c>
      <c r="F68" s="171" t="s">
        <v>285</v>
      </c>
      <c r="G68" s="171" t="s">
        <v>110</v>
      </c>
      <c r="H68" s="156" t="s">
        <v>634</v>
      </c>
      <c r="I68" s="156" t="s">
        <v>575</v>
      </c>
    </row>
    <row r="69" spans="1:9" ht="12.75">
      <c r="A69" t="s">
        <v>904</v>
      </c>
      <c r="B69" s="156">
        <v>8</v>
      </c>
      <c r="C69" s="156">
        <v>7</v>
      </c>
      <c r="D69" s="156" t="s">
        <v>59</v>
      </c>
      <c r="E69" s="171" t="s">
        <v>266</v>
      </c>
      <c r="F69" s="171" t="s">
        <v>284</v>
      </c>
      <c r="G69" s="171" t="s">
        <v>285</v>
      </c>
      <c r="H69" s="156" t="s">
        <v>267</v>
      </c>
      <c r="I69" s="156" t="s">
        <v>968</v>
      </c>
    </row>
    <row r="70" spans="1:9" ht="12.75">
      <c r="A70" t="s">
        <v>322</v>
      </c>
      <c r="B70" s="156">
        <v>11</v>
      </c>
      <c r="C70" s="156">
        <v>2</v>
      </c>
      <c r="D70" s="156" t="s">
        <v>112</v>
      </c>
      <c r="E70" s="156" t="s">
        <v>369</v>
      </c>
      <c r="F70" s="171" t="s">
        <v>1093</v>
      </c>
      <c r="G70" s="171" t="s">
        <v>1094</v>
      </c>
      <c r="H70" s="156" t="s">
        <v>776</v>
      </c>
      <c r="I70" s="156" t="s">
        <v>272</v>
      </c>
    </row>
    <row r="71" spans="1:9" ht="12.75">
      <c r="A71" s="155" t="s">
        <v>487</v>
      </c>
      <c r="B71" s="168">
        <v>1</v>
      </c>
      <c r="C71" s="168">
        <v>18</v>
      </c>
      <c r="D71" t="s">
        <v>378</v>
      </c>
      <c r="E71" s="171" t="s">
        <v>961</v>
      </c>
      <c r="F71" s="172" t="s">
        <v>962</v>
      </c>
      <c r="G71" s="171" t="s">
        <v>283</v>
      </c>
      <c r="H71" s="156" t="s">
        <v>970</v>
      </c>
      <c r="I71" s="156" t="s">
        <v>965</v>
      </c>
    </row>
    <row r="72" spans="1:9" ht="12.75">
      <c r="A72" s="155" t="s">
        <v>488</v>
      </c>
      <c r="B72" s="168">
        <v>3</v>
      </c>
      <c r="C72" s="168">
        <v>17</v>
      </c>
      <c r="D72" t="s">
        <v>378</v>
      </c>
      <c r="E72" s="171" t="s">
        <v>961</v>
      </c>
      <c r="F72" s="172" t="s">
        <v>962</v>
      </c>
      <c r="G72" s="171" t="s">
        <v>283</v>
      </c>
      <c r="H72" s="156" t="s">
        <v>970</v>
      </c>
      <c r="I72" s="156" t="s">
        <v>965</v>
      </c>
    </row>
    <row r="73" spans="1:9" ht="12.75">
      <c r="A73" s="155" t="s">
        <v>703</v>
      </c>
      <c r="B73" s="168">
        <v>4</v>
      </c>
      <c r="C73" s="168">
        <v>15</v>
      </c>
      <c r="D73" t="s">
        <v>378</v>
      </c>
      <c r="E73" s="171" t="s">
        <v>961</v>
      </c>
      <c r="F73" s="172" t="s">
        <v>962</v>
      </c>
      <c r="G73" s="171" t="s">
        <v>283</v>
      </c>
      <c r="H73" s="156" t="s">
        <v>970</v>
      </c>
      <c r="I73" s="156" t="s">
        <v>983</v>
      </c>
    </row>
    <row r="74" spans="1:9" ht="12.75">
      <c r="A74" s="155" t="s">
        <v>954</v>
      </c>
      <c r="B74" s="168">
        <v>6</v>
      </c>
      <c r="C74" s="168">
        <v>15</v>
      </c>
      <c r="D74" t="s">
        <v>378</v>
      </c>
      <c r="E74" s="171" t="s">
        <v>961</v>
      </c>
      <c r="F74" s="172" t="s">
        <v>962</v>
      </c>
      <c r="G74" s="171" t="s">
        <v>283</v>
      </c>
      <c r="H74" s="156" t="s">
        <v>970</v>
      </c>
      <c r="I74" s="156" t="s">
        <v>983</v>
      </c>
    </row>
    <row r="75" spans="1:9" ht="12.75">
      <c r="A75" s="155" t="s">
        <v>955</v>
      </c>
      <c r="B75" s="168">
        <v>7</v>
      </c>
      <c r="C75" s="168">
        <v>11</v>
      </c>
      <c r="D75" t="s">
        <v>378</v>
      </c>
      <c r="E75" s="171" t="s">
        <v>961</v>
      </c>
      <c r="F75" s="172" t="s">
        <v>962</v>
      </c>
      <c r="G75" s="171" t="s">
        <v>1087</v>
      </c>
      <c r="H75" s="156" t="s">
        <v>263</v>
      </c>
      <c r="I75" s="156" t="s">
        <v>264</v>
      </c>
    </row>
    <row r="76" spans="1:9" ht="12.75">
      <c r="A76" s="155" t="s">
        <v>610</v>
      </c>
      <c r="B76" s="168">
        <v>9</v>
      </c>
      <c r="C76" s="168">
        <v>11</v>
      </c>
      <c r="D76" t="s">
        <v>378</v>
      </c>
      <c r="E76" s="171" t="s">
        <v>961</v>
      </c>
      <c r="F76" s="172" t="s">
        <v>962</v>
      </c>
      <c r="G76" s="171" t="s">
        <v>1087</v>
      </c>
      <c r="H76" s="156" t="s">
        <v>263</v>
      </c>
      <c r="I76" s="156" t="s">
        <v>264</v>
      </c>
    </row>
    <row r="77" spans="1:9" ht="12.75">
      <c r="A77" s="155" t="s">
        <v>611</v>
      </c>
      <c r="B77" s="168">
        <v>3</v>
      </c>
      <c r="C77" s="168">
        <v>5</v>
      </c>
      <c r="D77" t="s">
        <v>934</v>
      </c>
      <c r="E77" s="171" t="s">
        <v>1086</v>
      </c>
      <c r="F77" s="171" t="s">
        <v>283</v>
      </c>
      <c r="G77" s="171" t="s">
        <v>852</v>
      </c>
      <c r="H77" s="156" t="s">
        <v>853</v>
      </c>
      <c r="I77" s="156" t="s">
        <v>776</v>
      </c>
    </row>
    <row r="78" spans="1:9" ht="12.75">
      <c r="A78" s="155" t="s">
        <v>832</v>
      </c>
      <c r="B78" s="168">
        <v>5</v>
      </c>
      <c r="C78" s="168">
        <v>5</v>
      </c>
      <c r="D78" t="s">
        <v>934</v>
      </c>
      <c r="E78" s="171" t="s">
        <v>1086</v>
      </c>
      <c r="F78" s="171" t="s">
        <v>283</v>
      </c>
      <c r="G78" s="171" t="s">
        <v>852</v>
      </c>
      <c r="H78" s="156" t="s">
        <v>853</v>
      </c>
      <c r="I78" s="156" t="s">
        <v>776</v>
      </c>
    </row>
    <row r="79" spans="1:9" ht="12.75">
      <c r="A79" s="155" t="s">
        <v>833</v>
      </c>
      <c r="B79" s="168">
        <v>7</v>
      </c>
      <c r="C79" s="168">
        <v>5</v>
      </c>
      <c r="D79" t="s">
        <v>934</v>
      </c>
      <c r="E79" s="171" t="s">
        <v>1086</v>
      </c>
      <c r="F79" s="171" t="s">
        <v>283</v>
      </c>
      <c r="G79" s="171" t="s">
        <v>852</v>
      </c>
      <c r="H79" s="156" t="s">
        <v>853</v>
      </c>
      <c r="I79" s="156" t="s">
        <v>776</v>
      </c>
    </row>
    <row r="80" spans="1:9" ht="12.75">
      <c r="A80" s="155" t="s">
        <v>834</v>
      </c>
      <c r="B80" s="168">
        <v>9</v>
      </c>
      <c r="C80" s="168">
        <v>5</v>
      </c>
      <c r="D80" t="s">
        <v>934</v>
      </c>
      <c r="E80" s="171" t="s">
        <v>1086</v>
      </c>
      <c r="F80" s="171" t="s">
        <v>283</v>
      </c>
      <c r="G80" s="171" t="s">
        <v>852</v>
      </c>
      <c r="H80" s="156" t="s">
        <v>853</v>
      </c>
      <c r="I80" s="156" t="s">
        <v>776</v>
      </c>
    </row>
    <row r="81" spans="1:9" ht="12.75">
      <c r="A81" s="155" t="s">
        <v>835</v>
      </c>
      <c r="B81" s="168">
        <v>10</v>
      </c>
      <c r="C81" s="168">
        <v>5</v>
      </c>
      <c r="D81" t="s">
        <v>934</v>
      </c>
      <c r="E81" s="171" t="s">
        <v>1086</v>
      </c>
      <c r="F81" s="171" t="s">
        <v>283</v>
      </c>
      <c r="G81" s="171" t="s">
        <v>852</v>
      </c>
      <c r="H81" s="156" t="s">
        <v>853</v>
      </c>
      <c r="I81" s="156" t="s">
        <v>776</v>
      </c>
    </row>
    <row r="82" spans="1:9" ht="12.75">
      <c r="A82" s="155" t="s">
        <v>836</v>
      </c>
      <c r="B82" s="168">
        <v>11</v>
      </c>
      <c r="C82" s="168">
        <v>5</v>
      </c>
      <c r="D82" t="s">
        <v>934</v>
      </c>
      <c r="E82" s="171" t="s">
        <v>1086</v>
      </c>
      <c r="F82" s="171" t="s">
        <v>283</v>
      </c>
      <c r="G82" s="171" t="s">
        <v>852</v>
      </c>
      <c r="H82" s="156" t="s">
        <v>853</v>
      </c>
      <c r="I82" s="156" t="s">
        <v>776</v>
      </c>
    </row>
    <row r="83" spans="1:9" ht="12.75">
      <c r="A83" s="155" t="s">
        <v>13</v>
      </c>
      <c r="B83" s="168">
        <v>0</v>
      </c>
      <c r="C83" s="168">
        <v>0</v>
      </c>
      <c r="D83" t="s">
        <v>718</v>
      </c>
      <c r="E83" s="156">
        <v>0</v>
      </c>
      <c r="F83" s="171" t="s">
        <v>943</v>
      </c>
      <c r="G83" s="171" t="s">
        <v>1094</v>
      </c>
      <c r="H83" s="156" t="s">
        <v>1095</v>
      </c>
      <c r="I83" s="156" t="s">
        <v>875</v>
      </c>
    </row>
    <row r="84" spans="1:9" ht="12.75">
      <c r="A84" s="182" t="s">
        <v>926</v>
      </c>
      <c r="B84" s="168">
        <v>10</v>
      </c>
      <c r="C84" s="168">
        <v>0</v>
      </c>
      <c r="D84" t="s">
        <v>710</v>
      </c>
      <c r="E84" s="156" t="s">
        <v>369</v>
      </c>
      <c r="F84" s="171" t="s">
        <v>285</v>
      </c>
      <c r="G84" s="171" t="s">
        <v>110</v>
      </c>
      <c r="H84" s="156" t="s">
        <v>634</v>
      </c>
      <c r="I84" s="156" t="s">
        <v>575</v>
      </c>
    </row>
    <row r="85" spans="1:9" ht="12.75">
      <c r="A85" s="182" t="s">
        <v>838</v>
      </c>
      <c r="B85" s="168">
        <v>11</v>
      </c>
      <c r="C85" s="168">
        <v>0</v>
      </c>
      <c r="D85" t="s">
        <v>709</v>
      </c>
      <c r="E85" s="156" t="s">
        <v>369</v>
      </c>
      <c r="F85" s="171" t="s">
        <v>285</v>
      </c>
      <c r="G85" s="171" t="s">
        <v>55</v>
      </c>
      <c r="H85" s="156" t="s">
        <v>1103</v>
      </c>
      <c r="I85" s="156" t="s">
        <v>875</v>
      </c>
    </row>
    <row r="86" spans="1:9" ht="12.75">
      <c r="A86" s="182" t="s">
        <v>924</v>
      </c>
      <c r="B86" s="168">
        <v>12</v>
      </c>
      <c r="C86" s="168">
        <v>0</v>
      </c>
      <c r="D86" t="s">
        <v>709</v>
      </c>
      <c r="E86" s="156" t="s">
        <v>369</v>
      </c>
      <c r="F86" s="171" t="s">
        <v>285</v>
      </c>
      <c r="G86" s="171" t="s">
        <v>55</v>
      </c>
      <c r="H86" s="156" t="s">
        <v>1103</v>
      </c>
      <c r="I86" s="156" t="s">
        <v>875</v>
      </c>
    </row>
    <row r="87" spans="1:9" ht="12.75">
      <c r="A87" s="182" t="s">
        <v>702</v>
      </c>
      <c r="B87" s="168">
        <v>12</v>
      </c>
      <c r="C87" s="168">
        <v>0</v>
      </c>
      <c r="D87" t="s">
        <v>710</v>
      </c>
      <c r="E87" s="156" t="s">
        <v>369</v>
      </c>
      <c r="F87" s="171" t="s">
        <v>285</v>
      </c>
      <c r="G87" s="171" t="s">
        <v>110</v>
      </c>
      <c r="H87" s="156" t="s">
        <v>634</v>
      </c>
      <c r="I87" s="156" t="s">
        <v>575</v>
      </c>
    </row>
    <row r="88" spans="1:9" ht="12.75">
      <c r="A88" s="182" t="s">
        <v>925</v>
      </c>
      <c r="B88" s="168">
        <v>10</v>
      </c>
      <c r="C88" s="168">
        <v>0</v>
      </c>
      <c r="D88" t="s">
        <v>710</v>
      </c>
      <c r="E88" s="156" t="s">
        <v>369</v>
      </c>
      <c r="F88" s="171" t="s">
        <v>285</v>
      </c>
      <c r="G88" s="171" t="s">
        <v>110</v>
      </c>
      <c r="H88" s="156" t="s">
        <v>634</v>
      </c>
      <c r="I88" s="156" t="s">
        <v>575</v>
      </c>
    </row>
    <row r="89" spans="1:9" ht="12.75">
      <c r="A89" t="s">
        <v>1024</v>
      </c>
      <c r="B89" s="156">
        <v>6</v>
      </c>
      <c r="C89" s="168">
        <v>6</v>
      </c>
      <c r="D89" s="156" t="s">
        <v>380</v>
      </c>
      <c r="E89" s="171" t="s">
        <v>961</v>
      </c>
      <c r="F89" s="172" t="s">
        <v>962</v>
      </c>
      <c r="G89" s="171" t="s">
        <v>1087</v>
      </c>
      <c r="H89" s="156" t="s">
        <v>263</v>
      </c>
      <c r="I89" s="156" t="s">
        <v>264</v>
      </c>
    </row>
    <row r="90" spans="1:9" ht="12.75">
      <c r="A90" t="s">
        <v>1025</v>
      </c>
      <c r="B90" s="156">
        <v>8</v>
      </c>
      <c r="C90" s="168">
        <v>2</v>
      </c>
      <c r="D90" s="156" t="s">
        <v>1133</v>
      </c>
      <c r="E90" s="171" t="s">
        <v>1086</v>
      </c>
      <c r="F90" s="171" t="s">
        <v>1092</v>
      </c>
      <c r="G90" s="171" t="s">
        <v>963</v>
      </c>
      <c r="H90" s="156" t="s">
        <v>268</v>
      </c>
      <c r="I90" s="156" t="s">
        <v>1094</v>
      </c>
    </row>
    <row r="91" spans="1:9" ht="12.75">
      <c r="A91" s="182" t="s">
        <v>638</v>
      </c>
      <c r="B91" s="156">
        <v>0</v>
      </c>
      <c r="C91" s="168">
        <v>0</v>
      </c>
      <c r="D91" s="156" t="s">
        <v>1026</v>
      </c>
      <c r="E91" s="156">
        <v>0</v>
      </c>
      <c r="F91" s="171" t="s">
        <v>943</v>
      </c>
      <c r="G91" s="171" t="s">
        <v>1094</v>
      </c>
      <c r="H91" s="156" t="s">
        <v>1095</v>
      </c>
      <c r="I91" s="156" t="s">
        <v>875</v>
      </c>
    </row>
    <row r="92" spans="1:9" ht="12.75">
      <c r="A92" s="182" t="s">
        <v>486</v>
      </c>
      <c r="B92" s="168">
        <v>2</v>
      </c>
      <c r="C92" s="168">
        <v>18</v>
      </c>
      <c r="D92" t="s">
        <v>718</v>
      </c>
      <c r="E92" s="171" t="s">
        <v>961</v>
      </c>
      <c r="F92" s="172" t="s">
        <v>962</v>
      </c>
      <c r="G92" s="171" t="s">
        <v>283</v>
      </c>
      <c r="H92" s="156" t="s">
        <v>970</v>
      </c>
      <c r="I92" s="156" t="s">
        <v>965</v>
      </c>
    </row>
    <row r="93" spans="1:9" ht="12.75">
      <c r="A93" s="182" t="s">
        <v>714</v>
      </c>
      <c r="B93" s="168">
        <v>2</v>
      </c>
      <c r="C93" s="168">
        <v>18</v>
      </c>
      <c r="D93" t="s">
        <v>505</v>
      </c>
      <c r="E93" s="171" t="s">
        <v>961</v>
      </c>
      <c r="F93" s="172" t="s">
        <v>962</v>
      </c>
      <c r="G93" s="171" t="s">
        <v>283</v>
      </c>
      <c r="H93" s="156" t="s">
        <v>970</v>
      </c>
      <c r="I93" s="156" t="s">
        <v>965</v>
      </c>
    </row>
    <row r="94" spans="1:9" ht="12.75">
      <c r="A94" s="182" t="s">
        <v>715</v>
      </c>
      <c r="B94" s="168">
        <v>2</v>
      </c>
      <c r="C94" s="168">
        <v>18</v>
      </c>
      <c r="D94" t="s">
        <v>505</v>
      </c>
      <c r="E94" s="171" t="s">
        <v>961</v>
      </c>
      <c r="F94" s="172" t="s">
        <v>962</v>
      </c>
      <c r="G94" s="171" t="s">
        <v>283</v>
      </c>
      <c r="H94" s="156" t="s">
        <v>970</v>
      </c>
      <c r="I94" s="156" t="s">
        <v>965</v>
      </c>
    </row>
    <row r="95" spans="1:9" ht="12.75">
      <c r="A95" s="182" t="s">
        <v>716</v>
      </c>
      <c r="B95" s="168">
        <v>2</v>
      </c>
      <c r="C95" s="168">
        <v>18</v>
      </c>
      <c r="D95" t="s">
        <v>718</v>
      </c>
      <c r="E95" s="171" t="s">
        <v>961</v>
      </c>
      <c r="F95" s="172" t="s">
        <v>962</v>
      </c>
      <c r="G95" s="171" t="s">
        <v>283</v>
      </c>
      <c r="H95" s="156" t="s">
        <v>970</v>
      </c>
      <c r="I95" s="156" t="s">
        <v>965</v>
      </c>
    </row>
    <row r="96" spans="1:9" ht="12.75">
      <c r="A96" s="182" t="s">
        <v>717</v>
      </c>
      <c r="B96" s="168">
        <v>2</v>
      </c>
      <c r="C96" s="168">
        <v>18</v>
      </c>
      <c r="D96" t="s">
        <v>505</v>
      </c>
      <c r="E96" s="171" t="s">
        <v>961</v>
      </c>
      <c r="F96" s="172" t="s">
        <v>962</v>
      </c>
      <c r="G96" s="171" t="s">
        <v>283</v>
      </c>
      <c r="H96" s="156" t="s">
        <v>970</v>
      </c>
      <c r="I96" s="156" t="s">
        <v>965</v>
      </c>
    </row>
    <row r="97" spans="1:9" ht="12.75">
      <c r="A97" s="182" t="s">
        <v>289</v>
      </c>
      <c r="B97" s="168">
        <v>3</v>
      </c>
      <c r="C97" s="168">
        <v>18</v>
      </c>
      <c r="D97" t="s">
        <v>505</v>
      </c>
      <c r="E97" s="171" t="s">
        <v>961</v>
      </c>
      <c r="F97" s="172" t="s">
        <v>962</v>
      </c>
      <c r="G97" s="171" t="s">
        <v>283</v>
      </c>
      <c r="H97" s="156" t="s">
        <v>970</v>
      </c>
      <c r="I97" s="156" t="s">
        <v>965</v>
      </c>
    </row>
    <row r="98" spans="1:9" ht="12.75">
      <c r="A98" s="182" t="s">
        <v>290</v>
      </c>
      <c r="B98" s="168">
        <v>2</v>
      </c>
      <c r="C98" s="168">
        <v>18</v>
      </c>
      <c r="D98" t="s">
        <v>505</v>
      </c>
      <c r="E98" s="171" t="s">
        <v>961</v>
      </c>
      <c r="F98" s="172" t="s">
        <v>962</v>
      </c>
      <c r="G98" s="171" t="s">
        <v>283</v>
      </c>
      <c r="H98" s="156" t="s">
        <v>970</v>
      </c>
      <c r="I98" s="156" t="s">
        <v>965</v>
      </c>
    </row>
    <row r="99" spans="1:9" ht="12.75">
      <c r="A99" s="182" t="s">
        <v>291</v>
      </c>
      <c r="B99" s="168">
        <v>2</v>
      </c>
      <c r="C99" s="168">
        <v>18</v>
      </c>
      <c r="D99" t="s">
        <v>718</v>
      </c>
      <c r="E99" s="171" t="s">
        <v>961</v>
      </c>
      <c r="F99" s="172" t="s">
        <v>962</v>
      </c>
      <c r="G99" s="171" t="s">
        <v>283</v>
      </c>
      <c r="H99" s="156" t="s">
        <v>970</v>
      </c>
      <c r="I99" s="156" t="s">
        <v>965</v>
      </c>
    </row>
    <row r="100" spans="1:9" ht="12.75">
      <c r="A100" s="182" t="s">
        <v>292</v>
      </c>
      <c r="B100" s="168">
        <v>4</v>
      </c>
      <c r="C100" s="168">
        <v>18</v>
      </c>
      <c r="D100" t="s">
        <v>704</v>
      </c>
      <c r="E100" s="171" t="s">
        <v>961</v>
      </c>
      <c r="F100" s="172" t="s">
        <v>962</v>
      </c>
      <c r="G100" s="171" t="s">
        <v>283</v>
      </c>
      <c r="H100" s="156" t="s">
        <v>970</v>
      </c>
      <c r="I100" s="156" t="s">
        <v>983</v>
      </c>
    </row>
    <row r="101" spans="1:9" ht="12.75">
      <c r="A101" s="182" t="s">
        <v>612</v>
      </c>
      <c r="B101" s="168">
        <v>2</v>
      </c>
      <c r="C101" s="168">
        <v>18</v>
      </c>
      <c r="D101" t="s">
        <v>718</v>
      </c>
      <c r="E101" s="171" t="s">
        <v>961</v>
      </c>
      <c r="F101" s="172" t="s">
        <v>962</v>
      </c>
      <c r="G101" s="171" t="s">
        <v>283</v>
      </c>
      <c r="H101" s="156" t="s">
        <v>970</v>
      </c>
      <c r="I101" s="156" t="s">
        <v>965</v>
      </c>
    </row>
    <row r="102" spans="1:9" ht="12.75">
      <c r="A102" s="182" t="s">
        <v>613</v>
      </c>
      <c r="B102" s="168">
        <v>3</v>
      </c>
      <c r="C102" s="168">
        <v>18</v>
      </c>
      <c r="D102" t="s">
        <v>718</v>
      </c>
      <c r="E102" s="171" t="s">
        <v>961</v>
      </c>
      <c r="F102" s="172" t="s">
        <v>962</v>
      </c>
      <c r="G102" s="171" t="s">
        <v>283</v>
      </c>
      <c r="H102" s="156" t="s">
        <v>970</v>
      </c>
      <c r="I102" s="156" t="s">
        <v>983</v>
      </c>
    </row>
    <row r="103" spans="1:9" ht="12.75">
      <c r="A103" s="182" t="s">
        <v>614</v>
      </c>
      <c r="B103" s="168">
        <v>2</v>
      </c>
      <c r="C103" s="168">
        <v>15</v>
      </c>
      <c r="D103" t="s">
        <v>718</v>
      </c>
      <c r="E103" s="171" t="s">
        <v>961</v>
      </c>
      <c r="F103" s="172" t="s">
        <v>962</v>
      </c>
      <c r="G103" s="171" t="s">
        <v>283</v>
      </c>
      <c r="H103" s="156" t="s">
        <v>970</v>
      </c>
      <c r="I103" s="156" t="s">
        <v>965</v>
      </c>
    </row>
    <row r="104" spans="1:9" ht="12.75">
      <c r="A104" s="182" t="s">
        <v>615</v>
      </c>
      <c r="B104" s="168">
        <v>3</v>
      </c>
      <c r="C104" s="168">
        <v>15</v>
      </c>
      <c r="D104" t="s">
        <v>718</v>
      </c>
      <c r="E104" s="171" t="s">
        <v>961</v>
      </c>
      <c r="F104" s="172" t="s">
        <v>962</v>
      </c>
      <c r="G104" s="171" t="s">
        <v>283</v>
      </c>
      <c r="H104" s="156" t="s">
        <v>970</v>
      </c>
      <c r="I104" s="156" t="s">
        <v>983</v>
      </c>
    </row>
    <row r="105" spans="1:9" ht="12.75">
      <c r="A105" s="182" t="s">
        <v>616</v>
      </c>
      <c r="B105" s="168">
        <v>2</v>
      </c>
      <c r="C105" s="168">
        <v>15</v>
      </c>
      <c r="D105" t="s">
        <v>718</v>
      </c>
      <c r="E105" s="171" t="s">
        <v>961</v>
      </c>
      <c r="F105" s="172" t="s">
        <v>962</v>
      </c>
      <c r="G105" s="171" t="s">
        <v>283</v>
      </c>
      <c r="H105" s="156" t="s">
        <v>970</v>
      </c>
      <c r="I105" s="156" t="s">
        <v>965</v>
      </c>
    </row>
    <row r="106" spans="1:9" ht="12.75">
      <c r="A106" s="182" t="s">
        <v>617</v>
      </c>
      <c r="B106" s="168">
        <v>2</v>
      </c>
      <c r="C106" s="168">
        <v>15</v>
      </c>
      <c r="D106" t="s">
        <v>505</v>
      </c>
      <c r="E106" s="171" t="s">
        <v>961</v>
      </c>
      <c r="F106" s="172" t="s">
        <v>962</v>
      </c>
      <c r="G106" s="171" t="s">
        <v>283</v>
      </c>
      <c r="H106" s="156" t="s">
        <v>970</v>
      </c>
      <c r="I106" s="156" t="s">
        <v>965</v>
      </c>
    </row>
    <row r="107" spans="1:9" ht="12.75">
      <c r="A107" s="182" t="s">
        <v>618</v>
      </c>
      <c r="B107" s="168">
        <v>2</v>
      </c>
      <c r="C107" s="168">
        <v>15</v>
      </c>
      <c r="D107" t="s">
        <v>505</v>
      </c>
      <c r="E107" s="171" t="s">
        <v>961</v>
      </c>
      <c r="F107" s="172" t="s">
        <v>962</v>
      </c>
      <c r="G107" s="171" t="s">
        <v>283</v>
      </c>
      <c r="H107" s="156" t="s">
        <v>970</v>
      </c>
      <c r="I107" s="156" t="s">
        <v>965</v>
      </c>
    </row>
    <row r="108" spans="1:16" ht="12.75">
      <c r="A108" s="182" t="s">
        <v>619</v>
      </c>
      <c r="B108" s="168">
        <v>2</v>
      </c>
      <c r="C108" s="168">
        <v>15</v>
      </c>
      <c r="D108" t="s">
        <v>505</v>
      </c>
      <c r="E108" s="171" t="s">
        <v>961</v>
      </c>
      <c r="F108" s="172" t="s">
        <v>962</v>
      </c>
      <c r="G108" s="171" t="s">
        <v>283</v>
      </c>
      <c r="H108" s="156" t="s">
        <v>970</v>
      </c>
      <c r="I108" s="156" t="s">
        <v>965</v>
      </c>
      <c r="K108" s="149"/>
      <c r="L108" s="156"/>
      <c r="M108" s="156"/>
      <c r="N108" s="156"/>
      <c r="O108" s="156"/>
      <c r="P108" s="156"/>
    </row>
    <row r="109" spans="1:16" ht="12.75">
      <c r="A109" s="182" t="s">
        <v>842</v>
      </c>
      <c r="B109" s="168">
        <v>4</v>
      </c>
      <c r="C109" s="168">
        <v>11</v>
      </c>
      <c r="D109" t="s">
        <v>505</v>
      </c>
      <c r="E109" s="171" t="s">
        <v>961</v>
      </c>
      <c r="F109" s="172" t="s">
        <v>962</v>
      </c>
      <c r="G109" s="171" t="s">
        <v>1087</v>
      </c>
      <c r="H109" s="156" t="s">
        <v>263</v>
      </c>
      <c r="I109" s="156" t="s">
        <v>264</v>
      </c>
      <c r="L109" s="171"/>
      <c r="M109" s="172"/>
      <c r="N109" s="171"/>
      <c r="O109" s="156"/>
      <c r="P109" s="156"/>
    </row>
    <row r="110" spans="1:16" ht="12.75">
      <c r="A110" s="182" t="s">
        <v>843</v>
      </c>
      <c r="B110" s="168">
        <v>2</v>
      </c>
      <c r="C110" s="168">
        <v>15</v>
      </c>
      <c r="D110" t="s">
        <v>505</v>
      </c>
      <c r="E110" s="171" t="s">
        <v>961</v>
      </c>
      <c r="F110" s="172" t="s">
        <v>962</v>
      </c>
      <c r="G110" s="171" t="s">
        <v>283</v>
      </c>
      <c r="H110" s="156" t="s">
        <v>970</v>
      </c>
      <c r="I110" s="156" t="s">
        <v>983</v>
      </c>
      <c r="L110" s="171"/>
      <c r="M110" s="172"/>
      <c r="N110" s="171"/>
      <c r="O110" s="156"/>
      <c r="P110" s="156"/>
    </row>
    <row r="111" spans="1:16" ht="12.75">
      <c r="A111" s="182" t="s">
        <v>844</v>
      </c>
      <c r="B111" s="168">
        <v>2</v>
      </c>
      <c r="C111" s="168">
        <v>15</v>
      </c>
      <c r="D111" t="s">
        <v>505</v>
      </c>
      <c r="E111" s="171" t="s">
        <v>961</v>
      </c>
      <c r="F111" s="172" t="s">
        <v>962</v>
      </c>
      <c r="G111" s="171" t="s">
        <v>283</v>
      </c>
      <c r="H111" s="156" t="s">
        <v>970</v>
      </c>
      <c r="I111" s="156" t="s">
        <v>983</v>
      </c>
      <c r="L111" s="171"/>
      <c r="M111" s="172"/>
      <c r="N111" s="171"/>
      <c r="O111" s="156"/>
      <c r="P111" s="156"/>
    </row>
    <row r="112" spans="1:16" ht="12.75">
      <c r="A112" s="182" t="s">
        <v>845</v>
      </c>
      <c r="B112" s="168">
        <v>2</v>
      </c>
      <c r="C112" s="168">
        <v>15</v>
      </c>
      <c r="D112" t="s">
        <v>505</v>
      </c>
      <c r="E112" s="171" t="s">
        <v>961</v>
      </c>
      <c r="F112" s="172" t="s">
        <v>962</v>
      </c>
      <c r="G112" s="171" t="s">
        <v>283</v>
      </c>
      <c r="H112" s="156" t="s">
        <v>970</v>
      </c>
      <c r="I112" s="156" t="s">
        <v>983</v>
      </c>
      <c r="L112" s="171"/>
      <c r="M112" s="171"/>
      <c r="N112" s="171"/>
      <c r="O112" s="156"/>
      <c r="P112" s="156"/>
    </row>
    <row r="113" spans="1:16" ht="12.75">
      <c r="A113" s="182" t="s">
        <v>846</v>
      </c>
      <c r="B113" s="168">
        <v>2</v>
      </c>
      <c r="C113" s="168">
        <v>15</v>
      </c>
      <c r="D113" t="s">
        <v>718</v>
      </c>
      <c r="E113" s="171" t="s">
        <v>961</v>
      </c>
      <c r="F113" s="172" t="s">
        <v>962</v>
      </c>
      <c r="G113" s="171" t="s">
        <v>283</v>
      </c>
      <c r="H113" s="156" t="s">
        <v>970</v>
      </c>
      <c r="I113" s="156" t="s">
        <v>983</v>
      </c>
      <c r="L113" s="171"/>
      <c r="M113" s="171"/>
      <c r="N113" s="171"/>
      <c r="O113" s="156"/>
      <c r="P113" s="156"/>
    </row>
    <row r="114" spans="1:16" ht="12.75">
      <c r="A114" s="182" t="s">
        <v>847</v>
      </c>
      <c r="B114" s="168">
        <v>4</v>
      </c>
      <c r="C114" s="168">
        <v>11</v>
      </c>
      <c r="D114" t="s">
        <v>718</v>
      </c>
      <c r="E114" s="171" t="s">
        <v>961</v>
      </c>
      <c r="F114" s="172" t="s">
        <v>962</v>
      </c>
      <c r="G114" s="171" t="s">
        <v>1087</v>
      </c>
      <c r="H114" s="156" t="s">
        <v>263</v>
      </c>
      <c r="I114" s="156" t="s">
        <v>264</v>
      </c>
      <c r="L114" s="171"/>
      <c r="M114" s="171"/>
      <c r="N114" s="171"/>
      <c r="O114" s="156"/>
      <c r="P114" s="156"/>
    </row>
    <row r="115" spans="1:16" ht="12.75">
      <c r="A115" s="182" t="s">
        <v>848</v>
      </c>
      <c r="B115" s="168">
        <v>5</v>
      </c>
      <c r="C115" s="168">
        <v>11</v>
      </c>
      <c r="D115" t="s">
        <v>718</v>
      </c>
      <c r="E115" s="171" t="s">
        <v>961</v>
      </c>
      <c r="F115" s="172" t="s">
        <v>962</v>
      </c>
      <c r="G115" s="171" t="s">
        <v>1087</v>
      </c>
      <c r="H115" s="156" t="s">
        <v>263</v>
      </c>
      <c r="I115" s="156" t="s">
        <v>264</v>
      </c>
      <c r="L115" s="171"/>
      <c r="M115" s="171"/>
      <c r="N115" s="171"/>
      <c r="O115" s="156"/>
      <c r="P115" s="156"/>
    </row>
    <row r="116" spans="1:16" ht="12.75">
      <c r="A116" s="182" t="s">
        <v>1076</v>
      </c>
      <c r="B116" s="168">
        <v>5</v>
      </c>
      <c r="C116" s="168">
        <v>11</v>
      </c>
      <c r="D116" t="s">
        <v>505</v>
      </c>
      <c r="E116" s="171" t="s">
        <v>961</v>
      </c>
      <c r="F116" s="172" t="s">
        <v>962</v>
      </c>
      <c r="G116" s="171" t="s">
        <v>1087</v>
      </c>
      <c r="H116" s="156" t="s">
        <v>263</v>
      </c>
      <c r="I116" s="156" t="s">
        <v>264</v>
      </c>
      <c r="L116" s="171"/>
      <c r="M116" s="171"/>
      <c r="N116" s="171"/>
      <c r="O116" s="156"/>
      <c r="P116" s="156"/>
    </row>
    <row r="117" spans="1:16" ht="12.75">
      <c r="A117" s="182" t="s">
        <v>1135</v>
      </c>
      <c r="B117" s="168">
        <v>3</v>
      </c>
      <c r="C117" s="168">
        <v>11</v>
      </c>
      <c r="D117" t="s">
        <v>505</v>
      </c>
      <c r="E117" s="171" t="s">
        <v>961</v>
      </c>
      <c r="F117" s="172" t="s">
        <v>962</v>
      </c>
      <c r="G117" s="171" t="s">
        <v>1087</v>
      </c>
      <c r="H117" s="156" t="s">
        <v>263</v>
      </c>
      <c r="I117" s="156" t="s">
        <v>264</v>
      </c>
      <c r="L117" s="171"/>
      <c r="M117" s="171"/>
      <c r="N117" s="171"/>
      <c r="O117" s="156"/>
      <c r="P117" s="156"/>
    </row>
    <row r="118" spans="1:16" ht="12.75">
      <c r="A118" s="182" t="s">
        <v>1134</v>
      </c>
      <c r="B118" s="168">
        <v>3</v>
      </c>
      <c r="C118" s="168">
        <v>11</v>
      </c>
      <c r="D118" t="s">
        <v>505</v>
      </c>
      <c r="E118" s="171" t="s">
        <v>961</v>
      </c>
      <c r="F118" s="172" t="s">
        <v>962</v>
      </c>
      <c r="G118" s="171" t="s">
        <v>283</v>
      </c>
      <c r="H118" s="156" t="s">
        <v>970</v>
      </c>
      <c r="I118" s="156" t="s">
        <v>983</v>
      </c>
      <c r="L118" s="156"/>
      <c r="M118" s="171"/>
      <c r="N118" s="171"/>
      <c r="O118" s="156"/>
      <c r="P118" s="156"/>
    </row>
    <row r="119" spans="1:16" ht="12.75">
      <c r="A119" s="182" t="s">
        <v>587</v>
      </c>
      <c r="B119" s="168">
        <v>3</v>
      </c>
      <c r="C119" s="168">
        <v>11</v>
      </c>
      <c r="D119" t="s">
        <v>705</v>
      </c>
      <c r="E119" s="171" t="s">
        <v>961</v>
      </c>
      <c r="F119" s="172" t="s">
        <v>962</v>
      </c>
      <c r="G119" s="171" t="s">
        <v>1087</v>
      </c>
      <c r="H119" s="156" t="s">
        <v>263</v>
      </c>
      <c r="I119" s="156" t="s">
        <v>264</v>
      </c>
      <c r="L119" s="156"/>
      <c r="M119" s="171"/>
      <c r="N119" s="171"/>
      <c r="O119" s="156"/>
      <c r="P119" s="156"/>
    </row>
    <row r="120" spans="1:16" ht="12.75">
      <c r="A120" s="182" t="s">
        <v>373</v>
      </c>
      <c r="B120" s="168">
        <v>3</v>
      </c>
      <c r="C120" s="168">
        <v>11</v>
      </c>
      <c r="D120" t="s">
        <v>505</v>
      </c>
      <c r="E120" s="171" t="s">
        <v>961</v>
      </c>
      <c r="F120" s="172" t="s">
        <v>962</v>
      </c>
      <c r="G120" s="171" t="s">
        <v>1087</v>
      </c>
      <c r="H120" s="156" t="s">
        <v>263</v>
      </c>
      <c r="I120" s="156" t="s">
        <v>264</v>
      </c>
      <c r="L120" s="156"/>
      <c r="M120" s="171"/>
      <c r="N120" s="171"/>
      <c r="O120" s="156"/>
      <c r="P120" s="156"/>
    </row>
    <row r="121" spans="1:16" ht="12.75">
      <c r="A121" s="182" t="s">
        <v>499</v>
      </c>
      <c r="B121" s="168">
        <v>3</v>
      </c>
      <c r="C121" s="168">
        <v>11</v>
      </c>
      <c r="D121" t="s">
        <v>505</v>
      </c>
      <c r="E121" s="171" t="s">
        <v>961</v>
      </c>
      <c r="F121" s="172" t="s">
        <v>962</v>
      </c>
      <c r="G121" s="171" t="s">
        <v>283</v>
      </c>
      <c r="H121" s="156" t="s">
        <v>970</v>
      </c>
      <c r="I121" s="156" t="s">
        <v>983</v>
      </c>
      <c r="L121" s="156"/>
      <c r="M121" s="171"/>
      <c r="N121" s="171"/>
      <c r="O121" s="156"/>
      <c r="P121" s="156"/>
    </row>
    <row r="122" spans="1:16" ht="12.75">
      <c r="A122" s="182" t="s">
        <v>500</v>
      </c>
      <c r="B122" s="168">
        <v>2</v>
      </c>
      <c r="C122" s="168">
        <v>11</v>
      </c>
      <c r="D122" t="s">
        <v>505</v>
      </c>
      <c r="E122" s="171" t="s">
        <v>961</v>
      </c>
      <c r="F122" s="172" t="s">
        <v>962</v>
      </c>
      <c r="G122" s="171" t="s">
        <v>283</v>
      </c>
      <c r="H122" s="156" t="s">
        <v>970</v>
      </c>
      <c r="I122" s="156" t="s">
        <v>983</v>
      </c>
      <c r="L122" s="156"/>
      <c r="M122" s="171"/>
      <c r="N122" s="171"/>
      <c r="O122" s="156"/>
      <c r="P122" s="156"/>
    </row>
    <row r="123" spans="1:16" ht="12.75">
      <c r="A123" s="182" t="s">
        <v>501</v>
      </c>
      <c r="B123" s="168">
        <v>3</v>
      </c>
      <c r="C123" s="168">
        <v>15</v>
      </c>
      <c r="D123" t="s">
        <v>718</v>
      </c>
      <c r="E123" s="171" t="s">
        <v>961</v>
      </c>
      <c r="F123" s="172" t="s">
        <v>962</v>
      </c>
      <c r="G123" s="171" t="s">
        <v>283</v>
      </c>
      <c r="H123" s="156" t="s">
        <v>970</v>
      </c>
      <c r="I123" s="156" t="s">
        <v>983</v>
      </c>
      <c r="L123" s="156"/>
      <c r="M123" s="171"/>
      <c r="N123" s="171"/>
      <c r="O123" s="156"/>
      <c r="P123" s="156"/>
    </row>
    <row r="124" spans="1:16" ht="12.75">
      <c r="A124" s="182" t="s">
        <v>502</v>
      </c>
      <c r="B124" s="168">
        <v>2</v>
      </c>
      <c r="C124" s="168">
        <v>15</v>
      </c>
      <c r="D124" t="s">
        <v>718</v>
      </c>
      <c r="E124" s="171" t="s">
        <v>961</v>
      </c>
      <c r="F124" s="172" t="s">
        <v>962</v>
      </c>
      <c r="G124" s="171" t="s">
        <v>283</v>
      </c>
      <c r="H124" s="156" t="s">
        <v>970</v>
      </c>
      <c r="I124" s="156" t="s">
        <v>965</v>
      </c>
      <c r="L124" s="156"/>
      <c r="M124" s="171"/>
      <c r="N124" s="171"/>
      <c r="O124" s="156"/>
      <c r="P124" s="156"/>
    </row>
    <row r="125" spans="1:16" ht="12.75">
      <c r="A125" s="182" t="s">
        <v>503</v>
      </c>
      <c r="B125" s="168">
        <v>2</v>
      </c>
      <c r="C125" s="168">
        <v>15</v>
      </c>
      <c r="D125" t="s">
        <v>718</v>
      </c>
      <c r="E125" s="171" t="s">
        <v>961</v>
      </c>
      <c r="F125" s="172" t="s">
        <v>962</v>
      </c>
      <c r="G125" s="171" t="s">
        <v>283</v>
      </c>
      <c r="H125" s="156" t="s">
        <v>970</v>
      </c>
      <c r="I125" s="156" t="s">
        <v>983</v>
      </c>
      <c r="L125" s="156"/>
      <c r="M125" s="171"/>
      <c r="N125" s="171"/>
      <c r="O125" s="156"/>
      <c r="P125" s="156"/>
    </row>
    <row r="126" spans="1:9" ht="12.75">
      <c r="A126" s="182" t="s">
        <v>1172</v>
      </c>
      <c r="B126" s="168">
        <v>2</v>
      </c>
      <c r="C126" s="168">
        <v>15</v>
      </c>
      <c r="D126" t="s">
        <v>706</v>
      </c>
      <c r="E126" s="171" t="s">
        <v>961</v>
      </c>
      <c r="F126" s="172" t="s">
        <v>962</v>
      </c>
      <c r="G126" s="171" t="s">
        <v>283</v>
      </c>
      <c r="H126" s="156" t="s">
        <v>970</v>
      </c>
      <c r="I126" s="156" t="s">
        <v>983</v>
      </c>
    </row>
    <row r="127" spans="1:9" ht="12.75">
      <c r="A127" s="182" t="s">
        <v>1173</v>
      </c>
      <c r="B127" s="168">
        <v>2</v>
      </c>
      <c r="C127" s="168">
        <v>15</v>
      </c>
      <c r="D127" t="s">
        <v>718</v>
      </c>
      <c r="E127" s="171" t="s">
        <v>961</v>
      </c>
      <c r="F127" s="172" t="s">
        <v>962</v>
      </c>
      <c r="G127" s="171" t="s">
        <v>283</v>
      </c>
      <c r="H127" s="156" t="s">
        <v>970</v>
      </c>
      <c r="I127" s="156" t="s">
        <v>983</v>
      </c>
    </row>
    <row r="128" spans="1:9" ht="12.75">
      <c r="A128" s="182" t="s">
        <v>1174</v>
      </c>
      <c r="B128" s="168">
        <v>3</v>
      </c>
      <c r="C128" s="168">
        <v>11</v>
      </c>
      <c r="D128" t="s">
        <v>718</v>
      </c>
      <c r="E128" s="171" t="s">
        <v>961</v>
      </c>
      <c r="F128" s="172" t="s">
        <v>962</v>
      </c>
      <c r="G128" s="171" t="s">
        <v>283</v>
      </c>
      <c r="H128" s="156" t="s">
        <v>970</v>
      </c>
      <c r="I128" s="156" t="s">
        <v>983</v>
      </c>
    </row>
    <row r="129" spans="1:9" ht="12.75">
      <c r="A129" s="182" t="s">
        <v>1175</v>
      </c>
      <c r="B129" s="168">
        <v>3</v>
      </c>
      <c r="C129" s="168">
        <v>3</v>
      </c>
      <c r="D129" t="s">
        <v>718</v>
      </c>
      <c r="E129" s="171" t="s">
        <v>1086</v>
      </c>
      <c r="F129" s="171" t="s">
        <v>873</v>
      </c>
      <c r="G129" s="171" t="s">
        <v>270</v>
      </c>
      <c r="H129" s="156" t="s">
        <v>271</v>
      </c>
      <c r="I129" s="156" t="s">
        <v>875</v>
      </c>
    </row>
    <row r="130" spans="1:9" ht="12.75">
      <c r="A130" s="182" t="s">
        <v>1176</v>
      </c>
      <c r="B130" s="168">
        <v>5</v>
      </c>
      <c r="C130" s="168">
        <v>3</v>
      </c>
      <c r="D130" t="s">
        <v>930</v>
      </c>
      <c r="E130" s="171" t="s">
        <v>1086</v>
      </c>
      <c r="F130" s="171" t="s">
        <v>873</v>
      </c>
      <c r="G130" s="171" t="s">
        <v>270</v>
      </c>
      <c r="H130" s="156" t="s">
        <v>271</v>
      </c>
      <c r="I130" s="156" t="s">
        <v>875</v>
      </c>
    </row>
    <row r="131" spans="1:9" ht="12.75">
      <c r="A131" s="182" t="s">
        <v>1122</v>
      </c>
      <c r="B131" s="168">
        <v>5</v>
      </c>
      <c r="C131" s="168">
        <v>3</v>
      </c>
      <c r="D131" t="s">
        <v>708</v>
      </c>
      <c r="E131" s="171" t="s">
        <v>1086</v>
      </c>
      <c r="F131" s="171" t="s">
        <v>283</v>
      </c>
      <c r="G131" s="171" t="s">
        <v>852</v>
      </c>
      <c r="H131" s="156" t="s">
        <v>853</v>
      </c>
      <c r="I131" s="156" t="s">
        <v>776</v>
      </c>
    </row>
    <row r="132" spans="1:9" ht="12.75">
      <c r="A132" s="182" t="s">
        <v>905</v>
      </c>
      <c r="B132" s="168">
        <v>5</v>
      </c>
      <c r="C132" s="168">
        <v>3</v>
      </c>
      <c r="D132" t="s">
        <v>930</v>
      </c>
      <c r="E132" s="171" t="s">
        <v>1086</v>
      </c>
      <c r="F132" s="171" t="s">
        <v>873</v>
      </c>
      <c r="G132" s="171" t="s">
        <v>270</v>
      </c>
      <c r="H132" s="156" t="s">
        <v>271</v>
      </c>
      <c r="I132" s="156" t="s">
        <v>875</v>
      </c>
    </row>
    <row r="133" spans="1:9" ht="12.75">
      <c r="A133" s="182" t="s">
        <v>1130</v>
      </c>
      <c r="B133" s="168">
        <v>3</v>
      </c>
      <c r="C133" s="168">
        <v>3</v>
      </c>
      <c r="D133" t="s">
        <v>930</v>
      </c>
      <c r="E133" s="171" t="s">
        <v>1086</v>
      </c>
      <c r="F133" s="171" t="s">
        <v>873</v>
      </c>
      <c r="G133" s="171" t="s">
        <v>270</v>
      </c>
      <c r="H133" s="156" t="s">
        <v>271</v>
      </c>
      <c r="I133" s="156" t="s">
        <v>875</v>
      </c>
    </row>
    <row r="134" spans="1:9" ht="12.75">
      <c r="A134" s="182" t="s">
        <v>1131</v>
      </c>
      <c r="B134" s="168">
        <v>5</v>
      </c>
      <c r="C134" s="168">
        <v>3</v>
      </c>
      <c r="D134" t="s">
        <v>930</v>
      </c>
      <c r="E134" s="171" t="s">
        <v>1086</v>
      </c>
      <c r="F134" s="171" t="s">
        <v>873</v>
      </c>
      <c r="G134" s="171" t="s">
        <v>270</v>
      </c>
      <c r="H134" s="156" t="s">
        <v>271</v>
      </c>
      <c r="I134" s="156" t="s">
        <v>875</v>
      </c>
    </row>
    <row r="135" spans="1:9" ht="12.75">
      <c r="A135" s="182" t="s">
        <v>1132</v>
      </c>
      <c r="B135" s="168">
        <v>4</v>
      </c>
      <c r="C135" s="168">
        <v>3</v>
      </c>
      <c r="D135" t="s">
        <v>930</v>
      </c>
      <c r="E135" s="171" t="s">
        <v>1086</v>
      </c>
      <c r="F135" s="171" t="s">
        <v>873</v>
      </c>
      <c r="G135" s="171" t="s">
        <v>270</v>
      </c>
      <c r="H135" s="156" t="s">
        <v>271</v>
      </c>
      <c r="I135" s="156" t="s">
        <v>875</v>
      </c>
    </row>
    <row r="136" spans="1:9" ht="12.75">
      <c r="A136" s="182" t="s">
        <v>274</v>
      </c>
      <c r="B136" s="168">
        <v>7</v>
      </c>
      <c r="C136" s="168">
        <v>3</v>
      </c>
      <c r="D136" t="s">
        <v>930</v>
      </c>
      <c r="E136" s="171" t="s">
        <v>1086</v>
      </c>
      <c r="F136" s="171" t="s">
        <v>873</v>
      </c>
      <c r="G136" s="171" t="s">
        <v>270</v>
      </c>
      <c r="H136" s="156" t="s">
        <v>271</v>
      </c>
      <c r="I136" s="156" t="s">
        <v>875</v>
      </c>
    </row>
    <row r="137" spans="1:9" ht="12.75">
      <c r="A137" s="182" t="s">
        <v>275</v>
      </c>
      <c r="B137" s="168">
        <v>6</v>
      </c>
      <c r="C137" s="168">
        <v>3</v>
      </c>
      <c r="D137" t="s">
        <v>930</v>
      </c>
      <c r="E137" s="171" t="s">
        <v>1086</v>
      </c>
      <c r="F137" s="171" t="s">
        <v>873</v>
      </c>
      <c r="G137" s="171" t="s">
        <v>270</v>
      </c>
      <c r="H137" s="156" t="s">
        <v>271</v>
      </c>
      <c r="I137" s="156" t="s">
        <v>875</v>
      </c>
    </row>
    <row r="138" spans="1:9" ht="12.75">
      <c r="A138" s="182" t="s">
        <v>60</v>
      </c>
      <c r="B138" s="168">
        <v>5</v>
      </c>
      <c r="C138" s="168">
        <v>3</v>
      </c>
      <c r="D138" t="s">
        <v>930</v>
      </c>
      <c r="E138" s="171" t="s">
        <v>1086</v>
      </c>
      <c r="F138" s="171" t="s">
        <v>873</v>
      </c>
      <c r="G138" s="171" t="s">
        <v>270</v>
      </c>
      <c r="H138" s="156" t="s">
        <v>271</v>
      </c>
      <c r="I138" s="156" t="s">
        <v>875</v>
      </c>
    </row>
    <row r="139" spans="1:9" ht="12.75">
      <c r="A139" s="182" t="s">
        <v>61</v>
      </c>
      <c r="B139" s="168">
        <v>2</v>
      </c>
      <c r="C139" s="168">
        <v>3</v>
      </c>
      <c r="D139" t="s">
        <v>930</v>
      </c>
      <c r="E139" s="171" t="s">
        <v>1086</v>
      </c>
      <c r="F139" s="171" t="s">
        <v>873</v>
      </c>
      <c r="G139" s="171" t="s">
        <v>270</v>
      </c>
      <c r="H139" s="156" t="s">
        <v>271</v>
      </c>
      <c r="I139" s="156" t="s">
        <v>875</v>
      </c>
    </row>
    <row r="140" spans="1:9" ht="12.75">
      <c r="A140" s="182" t="s">
        <v>62</v>
      </c>
      <c r="B140" s="168">
        <v>6</v>
      </c>
      <c r="C140" s="168">
        <v>3</v>
      </c>
      <c r="D140" t="s">
        <v>930</v>
      </c>
      <c r="E140" s="171" t="s">
        <v>1086</v>
      </c>
      <c r="F140" s="171" t="s">
        <v>873</v>
      </c>
      <c r="G140" s="171" t="s">
        <v>270</v>
      </c>
      <c r="H140" s="156" t="s">
        <v>271</v>
      </c>
      <c r="I140" s="156" t="s">
        <v>875</v>
      </c>
    </row>
    <row r="141" spans="1:9" ht="12.75">
      <c r="A141" s="182" t="s">
        <v>111</v>
      </c>
      <c r="B141" s="168">
        <v>6</v>
      </c>
      <c r="C141" s="168">
        <v>3</v>
      </c>
      <c r="D141" t="s">
        <v>930</v>
      </c>
      <c r="E141" s="171" t="s">
        <v>1086</v>
      </c>
      <c r="F141" s="171" t="s">
        <v>873</v>
      </c>
      <c r="G141" s="171" t="s">
        <v>270</v>
      </c>
      <c r="H141" s="156" t="s">
        <v>271</v>
      </c>
      <c r="I141" s="156" t="s">
        <v>875</v>
      </c>
    </row>
    <row r="142" spans="1:9" ht="12.75">
      <c r="A142" s="182" t="s">
        <v>697</v>
      </c>
      <c r="B142" s="168">
        <v>3</v>
      </c>
      <c r="C142" s="168">
        <v>3</v>
      </c>
      <c r="D142" t="s">
        <v>930</v>
      </c>
      <c r="E142" s="171" t="s">
        <v>1086</v>
      </c>
      <c r="F142" s="171" t="s">
        <v>873</v>
      </c>
      <c r="G142" s="171" t="s">
        <v>270</v>
      </c>
      <c r="H142" s="156" t="s">
        <v>271</v>
      </c>
      <c r="I142" s="156" t="s">
        <v>875</v>
      </c>
    </row>
    <row r="143" spans="1:9" ht="12.75">
      <c r="A143" s="182" t="s">
        <v>698</v>
      </c>
      <c r="B143" s="168">
        <v>5</v>
      </c>
      <c r="C143" s="168">
        <v>3</v>
      </c>
      <c r="D143" t="s">
        <v>930</v>
      </c>
      <c r="E143" s="156" t="s">
        <v>369</v>
      </c>
      <c r="F143" s="171" t="s">
        <v>1093</v>
      </c>
      <c r="G143" s="171" t="s">
        <v>1094</v>
      </c>
      <c r="H143" s="156" t="s">
        <v>776</v>
      </c>
      <c r="I143" s="156" t="s">
        <v>272</v>
      </c>
    </row>
    <row r="144" spans="1:9" ht="12.75">
      <c r="A144" s="182" t="s">
        <v>699</v>
      </c>
      <c r="B144" s="168">
        <v>6</v>
      </c>
      <c r="C144" s="168">
        <v>3</v>
      </c>
      <c r="D144" t="s">
        <v>930</v>
      </c>
      <c r="E144" s="171" t="s">
        <v>1086</v>
      </c>
      <c r="F144" s="171" t="s">
        <v>873</v>
      </c>
      <c r="G144" s="171" t="s">
        <v>270</v>
      </c>
      <c r="H144" s="156" t="s">
        <v>271</v>
      </c>
      <c r="I144" s="156" t="s">
        <v>875</v>
      </c>
    </row>
    <row r="145" spans="1:9" ht="12.75">
      <c r="A145" s="182" t="s">
        <v>700</v>
      </c>
      <c r="B145" s="168">
        <v>4</v>
      </c>
      <c r="C145" s="168">
        <v>3</v>
      </c>
      <c r="D145" t="s">
        <v>931</v>
      </c>
      <c r="E145" s="171" t="s">
        <v>1086</v>
      </c>
      <c r="F145" s="171" t="s">
        <v>873</v>
      </c>
      <c r="G145" s="171" t="s">
        <v>270</v>
      </c>
      <c r="H145" s="156" t="s">
        <v>271</v>
      </c>
      <c r="I145" s="156" t="s">
        <v>875</v>
      </c>
    </row>
    <row r="146" spans="1:9" ht="12.75">
      <c r="A146" s="182" t="s">
        <v>591</v>
      </c>
      <c r="B146" s="168">
        <v>5</v>
      </c>
      <c r="C146" s="168">
        <v>3</v>
      </c>
      <c r="D146" t="s">
        <v>930</v>
      </c>
      <c r="E146" s="171" t="s">
        <v>1086</v>
      </c>
      <c r="F146" s="171" t="s">
        <v>873</v>
      </c>
      <c r="G146" s="171" t="s">
        <v>270</v>
      </c>
      <c r="H146" s="156" t="s">
        <v>271</v>
      </c>
      <c r="I146" s="156" t="s">
        <v>875</v>
      </c>
    </row>
    <row r="147" spans="1:9" ht="12.75">
      <c r="A147" s="182" t="s">
        <v>389</v>
      </c>
      <c r="B147" s="168">
        <v>5</v>
      </c>
      <c r="C147" s="168">
        <v>3</v>
      </c>
      <c r="D147" t="s">
        <v>930</v>
      </c>
      <c r="E147" s="171" t="s">
        <v>1086</v>
      </c>
      <c r="F147" s="171" t="s">
        <v>873</v>
      </c>
      <c r="G147" s="171" t="s">
        <v>270</v>
      </c>
      <c r="H147" s="156" t="s">
        <v>271</v>
      </c>
      <c r="I147" s="156" t="s">
        <v>875</v>
      </c>
    </row>
    <row r="148" spans="1:9" ht="12.75">
      <c r="A148" s="182" t="s">
        <v>603</v>
      </c>
      <c r="B148" s="168">
        <v>7</v>
      </c>
      <c r="C148" s="168">
        <v>3</v>
      </c>
      <c r="D148" t="s">
        <v>930</v>
      </c>
      <c r="E148" s="156" t="s">
        <v>369</v>
      </c>
      <c r="F148" s="171" t="s">
        <v>1093</v>
      </c>
      <c r="G148" s="171" t="s">
        <v>1094</v>
      </c>
      <c r="H148" s="156" t="s">
        <v>776</v>
      </c>
      <c r="I148" s="156" t="s">
        <v>272</v>
      </c>
    </row>
    <row r="149" spans="1:9" ht="12.75">
      <c r="A149" s="182" t="s">
        <v>604</v>
      </c>
      <c r="B149" s="168">
        <v>9</v>
      </c>
      <c r="C149" s="168">
        <v>3</v>
      </c>
      <c r="D149" t="s">
        <v>930</v>
      </c>
      <c r="E149" s="156" t="s">
        <v>369</v>
      </c>
      <c r="F149" s="171" t="s">
        <v>1093</v>
      </c>
      <c r="G149" s="171" t="s">
        <v>1094</v>
      </c>
      <c r="H149" s="156" t="s">
        <v>776</v>
      </c>
      <c r="I149" s="156" t="s">
        <v>272</v>
      </c>
    </row>
    <row r="150" spans="1:9" ht="12.75">
      <c r="A150" s="182" t="s">
        <v>605</v>
      </c>
      <c r="B150" s="168">
        <v>8</v>
      </c>
      <c r="C150" s="168">
        <v>3</v>
      </c>
      <c r="D150" t="s">
        <v>930</v>
      </c>
      <c r="E150" s="156" t="s">
        <v>369</v>
      </c>
      <c r="F150" s="171" t="s">
        <v>1093</v>
      </c>
      <c r="G150" s="171" t="s">
        <v>1094</v>
      </c>
      <c r="H150" s="156" t="s">
        <v>776</v>
      </c>
      <c r="I150" s="156" t="s">
        <v>272</v>
      </c>
    </row>
    <row r="151" spans="1:9" ht="12.75">
      <c r="A151" s="182" t="s">
        <v>606</v>
      </c>
      <c r="B151" s="168">
        <v>6</v>
      </c>
      <c r="C151" s="168">
        <v>3</v>
      </c>
      <c r="D151" t="s">
        <v>930</v>
      </c>
      <c r="E151" s="171" t="s">
        <v>1086</v>
      </c>
      <c r="F151" s="171" t="s">
        <v>873</v>
      </c>
      <c r="G151" s="171" t="s">
        <v>270</v>
      </c>
      <c r="H151" s="156" t="s">
        <v>271</v>
      </c>
      <c r="I151" s="156" t="s">
        <v>875</v>
      </c>
    </row>
    <row r="152" spans="1:9" ht="12.75">
      <c r="A152" s="182" t="s">
        <v>607</v>
      </c>
      <c r="B152" s="168">
        <v>5</v>
      </c>
      <c r="C152" s="168">
        <v>3</v>
      </c>
      <c r="D152" t="s">
        <v>931</v>
      </c>
      <c r="E152" s="171" t="s">
        <v>1086</v>
      </c>
      <c r="F152" s="171" t="s">
        <v>873</v>
      </c>
      <c r="G152" s="171" t="s">
        <v>270</v>
      </c>
      <c r="H152" s="156" t="s">
        <v>271</v>
      </c>
      <c r="I152" s="156" t="s">
        <v>875</v>
      </c>
    </row>
    <row r="153" spans="1:9" ht="12.75">
      <c r="A153" s="182" t="s">
        <v>608</v>
      </c>
      <c r="B153" s="168">
        <v>9</v>
      </c>
      <c r="C153" s="168">
        <v>3</v>
      </c>
      <c r="D153" t="s">
        <v>707</v>
      </c>
      <c r="E153" s="156" t="s">
        <v>369</v>
      </c>
      <c r="F153" s="171" t="s">
        <v>1093</v>
      </c>
      <c r="G153" s="171" t="s">
        <v>1094</v>
      </c>
      <c r="H153" s="156" t="s">
        <v>776</v>
      </c>
      <c r="I153" s="156" t="s">
        <v>272</v>
      </c>
    </row>
    <row r="154" spans="1:9" ht="12.75">
      <c r="A154" s="182" t="s">
        <v>609</v>
      </c>
      <c r="B154" s="168">
        <v>4</v>
      </c>
      <c r="C154" s="168">
        <v>3</v>
      </c>
      <c r="D154" t="s">
        <v>930</v>
      </c>
      <c r="E154" s="171" t="s">
        <v>1086</v>
      </c>
      <c r="F154" s="171" t="s">
        <v>873</v>
      </c>
      <c r="G154" s="171" t="s">
        <v>270</v>
      </c>
      <c r="H154" s="156" t="s">
        <v>271</v>
      </c>
      <c r="I154" s="156" t="s">
        <v>875</v>
      </c>
    </row>
    <row r="155" spans="1:9" ht="12.75">
      <c r="A155" s="182" t="s">
        <v>72</v>
      </c>
      <c r="B155" s="168">
        <v>5</v>
      </c>
      <c r="C155" s="168">
        <v>3</v>
      </c>
      <c r="D155" t="s">
        <v>718</v>
      </c>
      <c r="E155" s="171" t="s">
        <v>1086</v>
      </c>
      <c r="F155" s="171" t="s">
        <v>873</v>
      </c>
      <c r="G155" s="171" t="s">
        <v>270</v>
      </c>
      <c r="H155" s="156" t="s">
        <v>271</v>
      </c>
      <c r="I155" s="156" t="s">
        <v>875</v>
      </c>
    </row>
    <row r="156" spans="1:9" ht="12.75">
      <c r="A156" s="182" t="s">
        <v>73</v>
      </c>
      <c r="B156" s="168">
        <v>5</v>
      </c>
      <c r="C156" s="168">
        <v>3</v>
      </c>
      <c r="D156" t="s">
        <v>930</v>
      </c>
      <c r="E156" s="171" t="s">
        <v>1086</v>
      </c>
      <c r="F156" s="171" t="s">
        <v>873</v>
      </c>
      <c r="G156" s="171" t="s">
        <v>270</v>
      </c>
      <c r="H156" s="156" t="s">
        <v>271</v>
      </c>
      <c r="I156" s="156" t="s">
        <v>875</v>
      </c>
    </row>
    <row r="157" spans="1:9" ht="12.75">
      <c r="A157" s="182" t="s">
        <v>74</v>
      </c>
      <c r="B157" s="168">
        <v>5</v>
      </c>
      <c r="C157" s="168">
        <v>3</v>
      </c>
      <c r="D157" t="s">
        <v>930</v>
      </c>
      <c r="E157" s="171" t="s">
        <v>1086</v>
      </c>
      <c r="F157" s="171" t="s">
        <v>873</v>
      </c>
      <c r="G157" s="171" t="s">
        <v>270</v>
      </c>
      <c r="H157" s="156" t="s">
        <v>271</v>
      </c>
      <c r="I157" s="156" t="s">
        <v>875</v>
      </c>
    </row>
    <row r="158" spans="1:9" ht="12.75">
      <c r="A158" s="182" t="s">
        <v>75</v>
      </c>
      <c r="B158" s="168">
        <v>5</v>
      </c>
      <c r="C158" s="168">
        <v>3</v>
      </c>
      <c r="D158" t="s">
        <v>930</v>
      </c>
      <c r="E158" s="171" t="s">
        <v>1086</v>
      </c>
      <c r="F158" s="171" t="s">
        <v>873</v>
      </c>
      <c r="G158" s="171" t="s">
        <v>270</v>
      </c>
      <c r="H158" s="156" t="s">
        <v>271</v>
      </c>
      <c r="I158" s="156" t="s">
        <v>875</v>
      </c>
    </row>
    <row r="159" spans="1:9" ht="12.75">
      <c r="A159" s="182" t="s">
        <v>76</v>
      </c>
      <c r="B159" s="168">
        <v>6</v>
      </c>
      <c r="C159" s="168">
        <v>3</v>
      </c>
      <c r="D159" t="s">
        <v>930</v>
      </c>
      <c r="E159" s="171" t="s">
        <v>1086</v>
      </c>
      <c r="F159" s="171" t="s">
        <v>873</v>
      </c>
      <c r="G159" s="171" t="s">
        <v>270</v>
      </c>
      <c r="H159" s="156" t="s">
        <v>271</v>
      </c>
      <c r="I159" s="156" t="s">
        <v>875</v>
      </c>
    </row>
    <row r="160" spans="1:9" ht="12.75">
      <c r="A160" s="182" t="s">
        <v>77</v>
      </c>
      <c r="B160" s="168">
        <v>6</v>
      </c>
      <c r="C160" s="168">
        <v>3</v>
      </c>
      <c r="D160" t="s">
        <v>930</v>
      </c>
      <c r="E160" s="171" t="s">
        <v>1086</v>
      </c>
      <c r="F160" s="171" t="s">
        <v>873</v>
      </c>
      <c r="G160" s="171" t="s">
        <v>270</v>
      </c>
      <c r="H160" s="156" t="s">
        <v>271</v>
      </c>
      <c r="I160" s="156" t="s">
        <v>875</v>
      </c>
    </row>
    <row r="161" spans="1:9" ht="12.75">
      <c r="A161" s="182" t="s">
        <v>78</v>
      </c>
      <c r="B161" s="168">
        <v>6</v>
      </c>
      <c r="C161" s="168">
        <v>3</v>
      </c>
      <c r="D161" t="s">
        <v>930</v>
      </c>
      <c r="E161" s="171" t="s">
        <v>1086</v>
      </c>
      <c r="F161" s="171" t="s">
        <v>873</v>
      </c>
      <c r="G161" s="171" t="s">
        <v>270</v>
      </c>
      <c r="H161" s="156" t="s">
        <v>271</v>
      </c>
      <c r="I161" s="156" t="s">
        <v>875</v>
      </c>
    </row>
    <row r="162" spans="1:9" ht="12.75">
      <c r="A162" s="182" t="s">
        <v>511</v>
      </c>
      <c r="B162" s="168">
        <v>6</v>
      </c>
      <c r="C162" s="168">
        <v>3</v>
      </c>
      <c r="D162" t="s">
        <v>930</v>
      </c>
      <c r="E162" s="171" t="s">
        <v>1086</v>
      </c>
      <c r="F162" s="171" t="s">
        <v>873</v>
      </c>
      <c r="G162" s="171" t="s">
        <v>270</v>
      </c>
      <c r="H162" s="156" t="s">
        <v>271</v>
      </c>
      <c r="I162" s="156" t="s">
        <v>875</v>
      </c>
    </row>
    <row r="163" spans="1:9" ht="12.75">
      <c r="A163" s="182" t="s">
        <v>512</v>
      </c>
      <c r="B163" s="168">
        <v>6</v>
      </c>
      <c r="C163" s="168">
        <v>3</v>
      </c>
      <c r="D163" t="s">
        <v>930</v>
      </c>
      <c r="E163" s="171" t="s">
        <v>1086</v>
      </c>
      <c r="F163" s="171" t="s">
        <v>873</v>
      </c>
      <c r="G163" s="171" t="s">
        <v>270</v>
      </c>
      <c r="H163" s="156" t="s">
        <v>271</v>
      </c>
      <c r="I163" s="156" t="s">
        <v>875</v>
      </c>
    </row>
    <row r="164" spans="1:9" ht="12.75">
      <c r="A164" s="182" t="s">
        <v>711</v>
      </c>
      <c r="B164" s="168">
        <v>6</v>
      </c>
      <c r="C164" s="168">
        <v>3</v>
      </c>
      <c r="D164" t="s">
        <v>930</v>
      </c>
      <c r="E164" s="171" t="s">
        <v>1086</v>
      </c>
      <c r="F164" s="171" t="s">
        <v>873</v>
      </c>
      <c r="G164" s="171" t="s">
        <v>270</v>
      </c>
      <c r="H164" s="156" t="s">
        <v>271</v>
      </c>
      <c r="I164" s="156" t="s">
        <v>875</v>
      </c>
    </row>
    <row r="165" spans="1:9" ht="12.75">
      <c r="A165" s="182" t="s">
        <v>712</v>
      </c>
      <c r="B165" s="168">
        <v>5</v>
      </c>
      <c r="C165" s="168">
        <v>3</v>
      </c>
      <c r="D165" t="s">
        <v>930</v>
      </c>
      <c r="E165" s="171" t="s">
        <v>1086</v>
      </c>
      <c r="F165" s="171" t="s">
        <v>873</v>
      </c>
      <c r="G165" s="171" t="s">
        <v>270</v>
      </c>
      <c r="H165" s="156" t="s">
        <v>271</v>
      </c>
      <c r="I165" s="156" t="s">
        <v>875</v>
      </c>
    </row>
    <row r="166" spans="1:9" ht="12.75">
      <c r="A166" s="182" t="s">
        <v>1225</v>
      </c>
      <c r="B166" s="168">
        <v>6</v>
      </c>
      <c r="C166" s="168">
        <v>3</v>
      </c>
      <c r="D166" t="s">
        <v>930</v>
      </c>
      <c r="E166" s="171" t="s">
        <v>1086</v>
      </c>
      <c r="F166" s="171" t="s">
        <v>873</v>
      </c>
      <c r="G166" s="171" t="s">
        <v>270</v>
      </c>
      <c r="H166" s="156" t="s">
        <v>271</v>
      </c>
      <c r="I166" s="156" t="s">
        <v>875</v>
      </c>
    </row>
    <row r="167" spans="1:9" ht="12.75">
      <c r="A167" s="182" t="s">
        <v>1072</v>
      </c>
      <c r="B167" s="168">
        <v>5</v>
      </c>
      <c r="C167" s="168">
        <v>3</v>
      </c>
      <c r="D167" t="s">
        <v>930</v>
      </c>
      <c r="E167" s="171" t="s">
        <v>1086</v>
      </c>
      <c r="F167" s="171" t="s">
        <v>873</v>
      </c>
      <c r="G167" s="171" t="s">
        <v>270</v>
      </c>
      <c r="H167" s="156" t="s">
        <v>271</v>
      </c>
      <c r="I167" s="156" t="s">
        <v>875</v>
      </c>
    </row>
    <row r="168" spans="1:9" ht="12.75">
      <c r="A168" s="182" t="s">
        <v>1073</v>
      </c>
      <c r="B168" s="168">
        <v>4</v>
      </c>
      <c r="C168" s="168">
        <v>3</v>
      </c>
      <c r="D168" t="s">
        <v>930</v>
      </c>
      <c r="E168" s="171" t="s">
        <v>1086</v>
      </c>
      <c r="F168" s="171" t="s">
        <v>873</v>
      </c>
      <c r="G168" s="171" t="s">
        <v>270</v>
      </c>
      <c r="H168" s="156" t="s">
        <v>271</v>
      </c>
      <c r="I168" s="156" t="s">
        <v>875</v>
      </c>
    </row>
    <row r="169" spans="1:9" ht="12.75">
      <c r="A169" s="182" t="s">
        <v>1074</v>
      </c>
      <c r="B169" s="168">
        <v>4</v>
      </c>
      <c r="C169" s="168">
        <v>3</v>
      </c>
      <c r="D169" t="s">
        <v>930</v>
      </c>
      <c r="E169" s="171" t="s">
        <v>1086</v>
      </c>
      <c r="F169" s="171" t="s">
        <v>873</v>
      </c>
      <c r="G169" s="171" t="s">
        <v>270</v>
      </c>
      <c r="H169" s="156" t="s">
        <v>271</v>
      </c>
      <c r="I169" s="156" t="s">
        <v>875</v>
      </c>
    </row>
    <row r="170" spans="1:9" ht="12.75">
      <c r="A170" s="182" t="s">
        <v>1021</v>
      </c>
      <c r="B170" s="168">
        <v>6</v>
      </c>
      <c r="C170" s="168">
        <v>3</v>
      </c>
      <c r="D170" t="s">
        <v>930</v>
      </c>
      <c r="E170" s="171" t="s">
        <v>1086</v>
      </c>
      <c r="F170" s="171" t="s">
        <v>873</v>
      </c>
      <c r="G170" s="171" t="s">
        <v>270</v>
      </c>
      <c r="H170" s="156" t="s">
        <v>271</v>
      </c>
      <c r="I170" s="156" t="s">
        <v>875</v>
      </c>
    </row>
    <row r="171" spans="1:9" ht="12.75">
      <c r="A171" s="182" t="s">
        <v>792</v>
      </c>
      <c r="B171" s="168">
        <v>5</v>
      </c>
      <c r="C171" s="168">
        <v>3</v>
      </c>
      <c r="D171" t="s">
        <v>930</v>
      </c>
      <c r="E171" s="171" t="s">
        <v>1086</v>
      </c>
      <c r="F171" s="171" t="s">
        <v>873</v>
      </c>
      <c r="G171" s="171" t="s">
        <v>270</v>
      </c>
      <c r="H171" s="156" t="s">
        <v>271</v>
      </c>
      <c r="I171" s="156" t="s">
        <v>875</v>
      </c>
    </row>
    <row r="172" spans="1:16" ht="12.75">
      <c r="A172" s="182" t="s">
        <v>1020</v>
      </c>
      <c r="B172" s="168">
        <v>5</v>
      </c>
      <c r="C172" s="168">
        <v>3</v>
      </c>
      <c r="D172" t="s">
        <v>930</v>
      </c>
      <c r="E172" s="171" t="s">
        <v>1086</v>
      </c>
      <c r="F172" s="171" t="s">
        <v>873</v>
      </c>
      <c r="G172" s="171" t="s">
        <v>270</v>
      </c>
      <c r="H172" s="156" t="s">
        <v>271</v>
      </c>
      <c r="I172" s="156" t="s">
        <v>875</v>
      </c>
      <c r="L172" s="171"/>
      <c r="M172" s="172"/>
      <c r="N172" s="171"/>
      <c r="O172" s="156"/>
      <c r="P172" s="156"/>
    </row>
    <row r="173" spans="1:16" ht="12.75">
      <c r="A173" s="182" t="s">
        <v>372</v>
      </c>
      <c r="B173" s="168">
        <v>6</v>
      </c>
      <c r="C173" s="168">
        <v>3</v>
      </c>
      <c r="D173" t="s">
        <v>708</v>
      </c>
      <c r="E173" s="171" t="s">
        <v>1086</v>
      </c>
      <c r="F173" s="171" t="s">
        <v>283</v>
      </c>
      <c r="G173" s="171" t="s">
        <v>852</v>
      </c>
      <c r="H173" s="156" t="s">
        <v>853</v>
      </c>
      <c r="I173" s="156" t="s">
        <v>776</v>
      </c>
      <c r="L173" s="171"/>
      <c r="M173" s="172"/>
      <c r="N173" s="171"/>
      <c r="O173" s="156"/>
      <c r="P173" s="156"/>
    </row>
    <row r="174" spans="1:16" ht="12.75">
      <c r="A174" s="182" t="s">
        <v>168</v>
      </c>
      <c r="B174" s="168">
        <v>5</v>
      </c>
      <c r="C174" s="168">
        <v>3</v>
      </c>
      <c r="D174" t="s">
        <v>930</v>
      </c>
      <c r="E174" s="171" t="s">
        <v>1086</v>
      </c>
      <c r="F174" s="171" t="s">
        <v>873</v>
      </c>
      <c r="G174" s="171" t="s">
        <v>270</v>
      </c>
      <c r="H174" s="156" t="s">
        <v>271</v>
      </c>
      <c r="I174" s="156" t="s">
        <v>875</v>
      </c>
      <c r="L174" s="171"/>
      <c r="M174" s="171"/>
      <c r="N174" s="171"/>
      <c r="O174" s="156"/>
      <c r="P174" s="156"/>
    </row>
    <row r="175" spans="1:16" ht="12.75">
      <c r="A175" s="182" t="s">
        <v>169</v>
      </c>
      <c r="B175" s="168">
        <v>6</v>
      </c>
      <c r="C175" s="168">
        <v>3</v>
      </c>
      <c r="D175" t="s">
        <v>708</v>
      </c>
      <c r="E175" s="171" t="s">
        <v>1086</v>
      </c>
      <c r="F175" s="171" t="s">
        <v>283</v>
      </c>
      <c r="G175" s="171" t="s">
        <v>852</v>
      </c>
      <c r="H175" s="156" t="s">
        <v>853</v>
      </c>
      <c r="I175" s="156" t="s">
        <v>776</v>
      </c>
      <c r="L175" s="171"/>
      <c r="M175" s="171"/>
      <c r="N175" s="171"/>
      <c r="O175" s="156"/>
      <c r="P175" s="156"/>
    </row>
    <row r="176" spans="1:16" ht="12.75">
      <c r="A176" s="182" t="s">
        <v>170</v>
      </c>
      <c r="B176" s="168">
        <v>5</v>
      </c>
      <c r="C176" s="168">
        <v>3</v>
      </c>
      <c r="D176" t="s">
        <v>930</v>
      </c>
      <c r="E176" s="171" t="s">
        <v>1086</v>
      </c>
      <c r="F176" s="171" t="s">
        <v>873</v>
      </c>
      <c r="G176" s="171" t="s">
        <v>270</v>
      </c>
      <c r="H176" s="156" t="s">
        <v>271</v>
      </c>
      <c r="I176" s="156" t="s">
        <v>875</v>
      </c>
      <c r="L176" s="171"/>
      <c r="M176" s="171"/>
      <c r="N176" s="171"/>
      <c r="O176" s="156"/>
      <c r="P176" s="156"/>
    </row>
    <row r="177" spans="1:16" ht="12.75">
      <c r="A177" s="182" t="s">
        <v>171</v>
      </c>
      <c r="B177" s="168">
        <v>5</v>
      </c>
      <c r="C177" s="168">
        <v>3</v>
      </c>
      <c r="D177" t="s">
        <v>930</v>
      </c>
      <c r="E177" s="171" t="s">
        <v>1086</v>
      </c>
      <c r="F177" s="171" t="s">
        <v>873</v>
      </c>
      <c r="G177" s="171" t="s">
        <v>270</v>
      </c>
      <c r="H177" s="156" t="s">
        <v>271</v>
      </c>
      <c r="I177" s="156" t="s">
        <v>875</v>
      </c>
      <c r="L177" s="171"/>
      <c r="M177" s="171"/>
      <c r="N177" s="171"/>
      <c r="O177" s="156"/>
      <c r="P177" s="156"/>
    </row>
    <row r="178" spans="1:16" ht="12.75">
      <c r="A178" s="182" t="s">
        <v>6</v>
      </c>
      <c r="B178" s="168">
        <v>8</v>
      </c>
      <c r="C178" s="168">
        <v>3</v>
      </c>
      <c r="D178" t="s">
        <v>930</v>
      </c>
      <c r="E178" s="171" t="s">
        <v>1086</v>
      </c>
      <c r="F178" s="171" t="s">
        <v>873</v>
      </c>
      <c r="G178" s="171" t="s">
        <v>270</v>
      </c>
      <c r="H178" s="156" t="s">
        <v>271</v>
      </c>
      <c r="I178" s="156" t="s">
        <v>875</v>
      </c>
      <c r="L178" s="171"/>
      <c r="M178" s="171"/>
      <c r="N178" s="171"/>
      <c r="O178" s="156"/>
      <c r="P178" s="156"/>
    </row>
    <row r="179" spans="1:16" ht="12.75">
      <c r="A179" s="182" t="s">
        <v>185</v>
      </c>
      <c r="B179" s="168">
        <v>6</v>
      </c>
      <c r="C179" s="168">
        <v>3</v>
      </c>
      <c r="D179" t="s">
        <v>930</v>
      </c>
      <c r="E179" s="171" t="s">
        <v>1086</v>
      </c>
      <c r="F179" s="171" t="s">
        <v>873</v>
      </c>
      <c r="G179" s="171" t="s">
        <v>270</v>
      </c>
      <c r="H179" s="156" t="s">
        <v>271</v>
      </c>
      <c r="I179" s="156" t="s">
        <v>875</v>
      </c>
      <c r="L179" s="171"/>
      <c r="M179" s="171"/>
      <c r="N179" s="171"/>
      <c r="O179" s="156"/>
      <c r="P179" s="156"/>
    </row>
    <row r="180" spans="1:16" ht="12.75">
      <c r="A180" s="182" t="s">
        <v>390</v>
      </c>
      <c r="B180" s="168">
        <v>5</v>
      </c>
      <c r="C180" s="168">
        <v>3</v>
      </c>
      <c r="D180" t="s">
        <v>930</v>
      </c>
      <c r="E180" s="171" t="s">
        <v>1086</v>
      </c>
      <c r="F180" s="171" t="s">
        <v>873</v>
      </c>
      <c r="G180" s="171" t="s">
        <v>270</v>
      </c>
      <c r="H180" s="156" t="s">
        <v>271</v>
      </c>
      <c r="I180" s="156" t="s">
        <v>875</v>
      </c>
      <c r="L180" s="156"/>
      <c r="M180" s="171"/>
      <c r="N180" s="171"/>
      <c r="O180" s="156"/>
      <c r="P180" s="156"/>
    </row>
    <row r="181" spans="1:16" ht="12.75">
      <c r="A181" s="182" t="s">
        <v>391</v>
      </c>
      <c r="B181" s="168">
        <v>6</v>
      </c>
      <c r="C181" s="168">
        <v>3</v>
      </c>
      <c r="D181" t="s">
        <v>930</v>
      </c>
      <c r="E181" s="171" t="s">
        <v>1086</v>
      </c>
      <c r="F181" s="171" t="s">
        <v>873</v>
      </c>
      <c r="G181" s="171" t="s">
        <v>270</v>
      </c>
      <c r="H181" s="156" t="s">
        <v>271</v>
      </c>
      <c r="I181" s="156" t="s">
        <v>875</v>
      </c>
      <c r="L181" s="156"/>
      <c r="M181" s="171"/>
      <c r="N181" s="171"/>
      <c r="O181" s="156"/>
      <c r="P181" s="156"/>
    </row>
    <row r="182" spans="1:16" ht="12.75">
      <c r="A182" s="182" t="s">
        <v>392</v>
      </c>
      <c r="B182" s="168">
        <v>5</v>
      </c>
      <c r="C182" s="168">
        <v>3</v>
      </c>
      <c r="D182" t="s">
        <v>718</v>
      </c>
      <c r="E182" s="171" t="s">
        <v>1086</v>
      </c>
      <c r="F182" s="171" t="s">
        <v>873</v>
      </c>
      <c r="G182" s="171" t="s">
        <v>270</v>
      </c>
      <c r="H182" s="156" t="s">
        <v>271</v>
      </c>
      <c r="I182" s="156" t="s">
        <v>875</v>
      </c>
      <c r="L182" s="156"/>
      <c r="M182" s="171"/>
      <c r="N182" s="171"/>
      <c r="O182" s="156"/>
      <c r="P182" s="156"/>
    </row>
    <row r="183" spans="1:16" ht="12.75">
      <c r="A183" s="182" t="s">
        <v>393</v>
      </c>
      <c r="B183" s="168">
        <v>3</v>
      </c>
      <c r="C183" s="168">
        <v>3</v>
      </c>
      <c r="D183" t="s">
        <v>708</v>
      </c>
      <c r="E183" s="171" t="s">
        <v>1086</v>
      </c>
      <c r="F183" s="171" t="s">
        <v>873</v>
      </c>
      <c r="G183" s="171" t="s">
        <v>270</v>
      </c>
      <c r="H183" s="156" t="s">
        <v>271</v>
      </c>
      <c r="I183" s="156" t="s">
        <v>875</v>
      </c>
      <c r="L183" s="156"/>
      <c r="M183" s="171"/>
      <c r="N183" s="171"/>
      <c r="O183" s="156"/>
      <c r="P183" s="156"/>
    </row>
    <row r="184" spans="1:9" ht="12.75">
      <c r="A184" s="182" t="s">
        <v>394</v>
      </c>
      <c r="B184" s="168">
        <v>4</v>
      </c>
      <c r="C184" s="168">
        <v>3</v>
      </c>
      <c r="D184" t="s">
        <v>930</v>
      </c>
      <c r="E184" s="171" t="s">
        <v>1086</v>
      </c>
      <c r="F184" s="171" t="s">
        <v>873</v>
      </c>
      <c r="G184" s="171" t="s">
        <v>270</v>
      </c>
      <c r="H184" s="156" t="s">
        <v>271</v>
      </c>
      <c r="I184" s="156" t="s">
        <v>875</v>
      </c>
    </row>
    <row r="185" spans="1:9" ht="12.75">
      <c r="A185" s="182" t="s">
        <v>395</v>
      </c>
      <c r="B185" s="168">
        <v>3</v>
      </c>
      <c r="C185" s="168">
        <v>3</v>
      </c>
      <c r="D185" t="s">
        <v>708</v>
      </c>
      <c r="E185" s="171" t="s">
        <v>1086</v>
      </c>
      <c r="F185" s="171" t="s">
        <v>873</v>
      </c>
      <c r="G185" s="171" t="s">
        <v>270</v>
      </c>
      <c r="H185" s="156" t="s">
        <v>271</v>
      </c>
      <c r="I185" s="156" t="s">
        <v>875</v>
      </c>
    </row>
    <row r="186" spans="1:9" ht="12.75">
      <c r="A186" s="182" t="s">
        <v>375</v>
      </c>
      <c r="B186" s="168">
        <v>3</v>
      </c>
      <c r="C186" s="168">
        <v>8</v>
      </c>
      <c r="D186" t="s">
        <v>934</v>
      </c>
      <c r="E186" s="171" t="s">
        <v>266</v>
      </c>
      <c r="F186" s="171" t="s">
        <v>284</v>
      </c>
      <c r="G186" s="171" t="s">
        <v>285</v>
      </c>
      <c r="H186" s="156" t="s">
        <v>267</v>
      </c>
      <c r="I186" s="156" t="s">
        <v>968</v>
      </c>
    </row>
    <row r="187" spans="1:9" ht="12.75">
      <c r="A187" s="182" t="s">
        <v>376</v>
      </c>
      <c r="B187" s="168">
        <v>3</v>
      </c>
      <c r="C187" s="168">
        <v>8</v>
      </c>
      <c r="D187" t="s">
        <v>934</v>
      </c>
      <c r="E187" s="171" t="s">
        <v>266</v>
      </c>
      <c r="F187" s="171" t="s">
        <v>284</v>
      </c>
      <c r="G187" s="171" t="s">
        <v>285</v>
      </c>
      <c r="H187" s="156" t="s">
        <v>267</v>
      </c>
      <c r="I187" s="156" t="s">
        <v>968</v>
      </c>
    </row>
    <row r="188" spans="1:9" ht="12.75">
      <c r="A188" s="182" t="s">
        <v>377</v>
      </c>
      <c r="B188" s="168">
        <v>3</v>
      </c>
      <c r="C188" s="168">
        <v>8</v>
      </c>
      <c r="D188" t="s">
        <v>934</v>
      </c>
      <c r="E188" s="171" t="s">
        <v>266</v>
      </c>
      <c r="F188" s="171" t="s">
        <v>284</v>
      </c>
      <c r="G188" s="171" t="s">
        <v>285</v>
      </c>
      <c r="H188" s="156" t="s">
        <v>267</v>
      </c>
      <c r="I188" s="156" t="s">
        <v>968</v>
      </c>
    </row>
    <row r="189" spans="1:9" ht="12.75">
      <c r="A189" s="182" t="s">
        <v>590</v>
      </c>
      <c r="B189" s="168">
        <v>3</v>
      </c>
      <c r="C189" s="168">
        <v>8</v>
      </c>
      <c r="D189" t="s">
        <v>934</v>
      </c>
      <c r="E189" s="171" t="s">
        <v>266</v>
      </c>
      <c r="F189" s="171" t="s">
        <v>284</v>
      </c>
      <c r="G189" s="171" t="s">
        <v>285</v>
      </c>
      <c r="H189" s="156" t="s">
        <v>267</v>
      </c>
      <c r="I189" s="156" t="s">
        <v>968</v>
      </c>
    </row>
    <row r="190" spans="1:9" ht="12.75">
      <c r="A190" s="182" t="s">
        <v>484</v>
      </c>
      <c r="B190" s="168">
        <v>3</v>
      </c>
      <c r="C190" s="168">
        <v>8</v>
      </c>
      <c r="D190" t="s">
        <v>934</v>
      </c>
      <c r="E190" s="171" t="s">
        <v>266</v>
      </c>
      <c r="F190" s="171" t="s">
        <v>284</v>
      </c>
      <c r="G190" s="171" t="s">
        <v>285</v>
      </c>
      <c r="H190" s="156" t="s">
        <v>267</v>
      </c>
      <c r="I190" s="156" t="s">
        <v>968</v>
      </c>
    </row>
    <row r="191" spans="1:9" ht="12.75">
      <c r="A191" s="182" t="s">
        <v>485</v>
      </c>
      <c r="B191" s="168">
        <v>3</v>
      </c>
      <c r="C191" s="168">
        <v>8</v>
      </c>
      <c r="D191" t="s">
        <v>934</v>
      </c>
      <c r="E191" s="171" t="s">
        <v>266</v>
      </c>
      <c r="F191" s="171" t="s">
        <v>284</v>
      </c>
      <c r="G191" s="171" t="s">
        <v>285</v>
      </c>
      <c r="H191" s="156" t="s">
        <v>267</v>
      </c>
      <c r="I191" s="156" t="s">
        <v>968</v>
      </c>
    </row>
    <row r="192" spans="1:9" ht="12.75">
      <c r="A192" t="s">
        <v>65</v>
      </c>
      <c r="B192" s="156">
        <v>6</v>
      </c>
      <c r="C192" s="156">
        <v>12</v>
      </c>
      <c r="D192" s="156" t="s">
        <v>379</v>
      </c>
      <c r="E192" s="171" t="s">
        <v>961</v>
      </c>
      <c r="F192" s="172" t="s">
        <v>962</v>
      </c>
      <c r="G192" s="171" t="s">
        <v>283</v>
      </c>
      <c r="H192" s="156" t="s">
        <v>970</v>
      </c>
      <c r="I192" s="156" t="s">
        <v>965</v>
      </c>
    </row>
    <row r="193" spans="1:9" ht="12.75">
      <c r="A193" t="s">
        <v>66</v>
      </c>
      <c r="B193" s="156">
        <v>8</v>
      </c>
      <c r="C193" s="156">
        <v>8</v>
      </c>
      <c r="D193" s="156" t="s">
        <v>379</v>
      </c>
      <c r="E193" s="171" t="s">
        <v>1086</v>
      </c>
      <c r="F193" s="171" t="s">
        <v>1092</v>
      </c>
      <c r="G193" s="171" t="s">
        <v>963</v>
      </c>
      <c r="H193" s="156" t="s">
        <v>268</v>
      </c>
      <c r="I193" s="156" t="s">
        <v>1094</v>
      </c>
    </row>
    <row r="194" spans="1:9" ht="12.75">
      <c r="A194" t="s">
        <v>294</v>
      </c>
      <c r="B194" s="168">
        <v>6</v>
      </c>
      <c r="C194" s="168">
        <v>3</v>
      </c>
      <c r="D194" s="156" t="s">
        <v>713</v>
      </c>
      <c r="E194" s="171" t="s">
        <v>1086</v>
      </c>
      <c r="F194" s="171" t="s">
        <v>873</v>
      </c>
      <c r="G194" s="171" t="s">
        <v>270</v>
      </c>
      <c r="H194" s="156" t="s">
        <v>271</v>
      </c>
      <c r="I194" s="156" t="s">
        <v>875</v>
      </c>
    </row>
    <row r="195" spans="1:9" ht="12.75">
      <c r="A195" t="s">
        <v>79</v>
      </c>
      <c r="B195" s="168">
        <v>5</v>
      </c>
      <c r="C195" s="168">
        <v>8</v>
      </c>
      <c r="D195" s="156" t="s">
        <v>1133</v>
      </c>
      <c r="E195" s="171" t="s">
        <v>1086</v>
      </c>
      <c r="F195" s="171" t="s">
        <v>283</v>
      </c>
      <c r="G195" s="171" t="s">
        <v>852</v>
      </c>
      <c r="H195" s="156" t="s">
        <v>853</v>
      </c>
      <c r="I195" s="156" t="s">
        <v>776</v>
      </c>
    </row>
    <row r="196" spans="1:9" ht="12.75">
      <c r="A196" t="s">
        <v>299</v>
      </c>
      <c r="B196" s="168">
        <v>9</v>
      </c>
      <c r="C196" s="168">
        <v>0</v>
      </c>
      <c r="D196" s="156" t="s">
        <v>765</v>
      </c>
      <c r="E196" s="156" t="s">
        <v>369</v>
      </c>
      <c r="F196" s="171" t="s">
        <v>285</v>
      </c>
      <c r="G196" s="171" t="s">
        <v>110</v>
      </c>
      <c r="H196" s="156" t="s">
        <v>634</v>
      </c>
      <c r="I196" s="156" t="s">
        <v>575</v>
      </c>
    </row>
    <row r="197" spans="1:9" ht="12.75">
      <c r="A197" t="s">
        <v>295</v>
      </c>
      <c r="B197" s="168">
        <v>7</v>
      </c>
      <c r="C197" s="168">
        <v>0</v>
      </c>
      <c r="D197" s="156" t="s">
        <v>766</v>
      </c>
      <c r="E197" s="156" t="s">
        <v>369</v>
      </c>
      <c r="F197" s="171" t="s">
        <v>285</v>
      </c>
      <c r="G197" s="171" t="s">
        <v>55</v>
      </c>
      <c r="H197" s="156" t="s">
        <v>1103</v>
      </c>
      <c r="I197" s="156" t="s">
        <v>875</v>
      </c>
    </row>
    <row r="198" spans="1:9" ht="12.75">
      <c r="A198" t="s">
        <v>620</v>
      </c>
      <c r="B198" s="168">
        <v>8</v>
      </c>
      <c r="C198" s="168">
        <v>0</v>
      </c>
      <c r="D198" s="156" t="s">
        <v>767</v>
      </c>
      <c r="E198" s="156" t="s">
        <v>369</v>
      </c>
      <c r="F198" s="171" t="s">
        <v>285</v>
      </c>
      <c r="G198" s="171" t="s">
        <v>110</v>
      </c>
      <c r="H198" s="156" t="s">
        <v>875</v>
      </c>
      <c r="I198" s="156" t="s">
        <v>107</v>
      </c>
    </row>
    <row r="199" spans="1:9" ht="12.75">
      <c r="A199" t="s">
        <v>694</v>
      </c>
      <c r="B199" s="168">
        <v>3</v>
      </c>
      <c r="C199" s="168">
        <v>15</v>
      </c>
      <c r="D199" s="156" t="s">
        <v>380</v>
      </c>
      <c r="E199" s="171" t="s">
        <v>266</v>
      </c>
      <c r="F199" s="171" t="s">
        <v>284</v>
      </c>
      <c r="G199" s="171" t="s">
        <v>285</v>
      </c>
      <c r="H199" s="156" t="s">
        <v>267</v>
      </c>
      <c r="I199" s="156" t="s">
        <v>968</v>
      </c>
    </row>
    <row r="200" spans="1:9" ht="12.75">
      <c r="A200" t="s">
        <v>837</v>
      </c>
      <c r="B200" s="168">
        <v>4</v>
      </c>
      <c r="C200" s="168">
        <v>11</v>
      </c>
      <c r="D200" s="156" t="s">
        <v>1133</v>
      </c>
      <c r="E200" s="171" t="s">
        <v>266</v>
      </c>
      <c r="F200" s="171" t="s">
        <v>284</v>
      </c>
      <c r="G200" s="171" t="s">
        <v>285</v>
      </c>
      <c r="H200" s="156" t="s">
        <v>267</v>
      </c>
      <c r="I200" s="156" t="s">
        <v>968</v>
      </c>
    </row>
    <row r="201" spans="1:9" ht="12.75">
      <c r="A201" t="s">
        <v>293</v>
      </c>
      <c r="B201" s="168">
        <v>4</v>
      </c>
      <c r="C201" s="168">
        <v>3</v>
      </c>
      <c r="D201" s="156" t="s">
        <v>713</v>
      </c>
      <c r="E201" s="171" t="s">
        <v>1086</v>
      </c>
      <c r="F201" s="171" t="s">
        <v>873</v>
      </c>
      <c r="G201" s="171" t="s">
        <v>270</v>
      </c>
      <c r="H201" s="156" t="s">
        <v>271</v>
      </c>
      <c r="I201" s="156" t="s">
        <v>875</v>
      </c>
    </row>
    <row r="202" spans="1:9" ht="12.75">
      <c r="A202" t="s">
        <v>1050</v>
      </c>
      <c r="B202" s="168">
        <v>7</v>
      </c>
      <c r="C202" s="168">
        <v>3</v>
      </c>
      <c r="D202" s="156" t="s">
        <v>713</v>
      </c>
      <c r="E202" s="171" t="s">
        <v>1086</v>
      </c>
      <c r="F202" s="171" t="s">
        <v>873</v>
      </c>
      <c r="G202" s="171" t="s">
        <v>270</v>
      </c>
      <c r="H202" s="156" t="s">
        <v>271</v>
      </c>
      <c r="I202" s="156" t="s">
        <v>875</v>
      </c>
    </row>
    <row r="203" spans="1:9" ht="12.75">
      <c r="A203" t="s">
        <v>278</v>
      </c>
      <c r="B203" s="168">
        <v>6</v>
      </c>
      <c r="C203" s="168">
        <v>8</v>
      </c>
      <c r="D203" s="156" t="s">
        <v>381</v>
      </c>
      <c r="E203" s="171" t="s">
        <v>1086</v>
      </c>
      <c r="F203" s="171" t="s">
        <v>283</v>
      </c>
      <c r="G203" s="171" t="s">
        <v>852</v>
      </c>
      <c r="H203" s="156" t="s">
        <v>853</v>
      </c>
      <c r="I203" s="156" t="s">
        <v>776</v>
      </c>
    </row>
    <row r="204" spans="1:9" ht="12.75">
      <c r="A204" t="s">
        <v>1064</v>
      </c>
      <c r="B204" s="168">
        <v>10</v>
      </c>
      <c r="C204" s="168">
        <v>0</v>
      </c>
      <c r="D204" s="156" t="s">
        <v>768</v>
      </c>
      <c r="E204" s="156" t="s">
        <v>369</v>
      </c>
      <c r="F204" s="171" t="s">
        <v>285</v>
      </c>
      <c r="G204" s="171" t="s">
        <v>110</v>
      </c>
      <c r="H204" s="156" t="s">
        <v>634</v>
      </c>
      <c r="I204" s="156" t="s">
        <v>575</v>
      </c>
    </row>
    <row r="205" spans="1:9" ht="12.75">
      <c r="A205" t="s">
        <v>1062</v>
      </c>
      <c r="B205" s="168">
        <v>8</v>
      </c>
      <c r="C205" s="168">
        <v>0</v>
      </c>
      <c r="D205" s="156" t="s">
        <v>769</v>
      </c>
      <c r="E205" s="156" t="s">
        <v>369</v>
      </c>
      <c r="F205" s="171" t="s">
        <v>285</v>
      </c>
      <c r="G205" s="171" t="s">
        <v>55</v>
      </c>
      <c r="H205" s="156" t="s">
        <v>1103</v>
      </c>
      <c r="I205" s="156" t="s">
        <v>875</v>
      </c>
    </row>
    <row r="206" spans="1:9" ht="12.75">
      <c r="A206" t="s">
        <v>1063</v>
      </c>
      <c r="B206" s="168">
        <v>9</v>
      </c>
      <c r="C206" s="168">
        <v>0</v>
      </c>
      <c r="D206" s="156" t="s">
        <v>770</v>
      </c>
      <c r="E206" s="156" t="s">
        <v>369</v>
      </c>
      <c r="F206" s="171" t="s">
        <v>285</v>
      </c>
      <c r="G206" s="171" t="s">
        <v>110</v>
      </c>
      <c r="H206" s="156" t="s">
        <v>875</v>
      </c>
      <c r="I206" s="156" t="s">
        <v>107</v>
      </c>
    </row>
    <row r="207" spans="1:9" ht="12.75">
      <c r="A207" t="s">
        <v>277</v>
      </c>
      <c r="B207" s="168">
        <v>5</v>
      </c>
      <c r="C207" s="168">
        <v>11</v>
      </c>
      <c r="D207" s="156" t="s">
        <v>1133</v>
      </c>
      <c r="E207" s="171" t="s">
        <v>266</v>
      </c>
      <c r="F207" s="171" t="s">
        <v>284</v>
      </c>
      <c r="G207" s="171" t="s">
        <v>285</v>
      </c>
      <c r="H207" s="156" t="s">
        <v>267</v>
      </c>
      <c r="I207" s="156" t="s">
        <v>968</v>
      </c>
    </row>
    <row r="208" spans="1:9" ht="12.75">
      <c r="A208" t="s">
        <v>1049</v>
      </c>
      <c r="B208" s="168">
        <v>7</v>
      </c>
      <c r="C208" s="168">
        <v>3</v>
      </c>
      <c r="D208" s="156" t="s">
        <v>713</v>
      </c>
      <c r="E208" s="171" t="s">
        <v>1086</v>
      </c>
      <c r="F208" s="171" t="s">
        <v>873</v>
      </c>
      <c r="G208" s="171" t="s">
        <v>270</v>
      </c>
      <c r="H208" s="156" t="s">
        <v>271</v>
      </c>
      <c r="I208" s="156" t="s">
        <v>875</v>
      </c>
    </row>
    <row r="209" spans="1:9" ht="12.75">
      <c r="A209" t="s">
        <v>719</v>
      </c>
      <c r="B209" s="168">
        <v>7</v>
      </c>
      <c r="C209" s="168">
        <v>3</v>
      </c>
      <c r="D209" s="156" t="s">
        <v>713</v>
      </c>
      <c r="E209" s="171" t="s">
        <v>1086</v>
      </c>
      <c r="F209" s="171" t="s">
        <v>873</v>
      </c>
      <c r="G209" s="171" t="s">
        <v>270</v>
      </c>
      <c r="H209" s="156" t="s">
        <v>271</v>
      </c>
      <c r="I209" s="156" t="s">
        <v>875</v>
      </c>
    </row>
    <row r="210" spans="1:9" ht="12.75">
      <c r="A210" t="s">
        <v>822</v>
      </c>
      <c r="B210" s="168">
        <v>6</v>
      </c>
      <c r="C210" s="168">
        <v>8</v>
      </c>
      <c r="D210" s="156" t="s">
        <v>1133</v>
      </c>
      <c r="E210" s="171" t="s">
        <v>1086</v>
      </c>
      <c r="F210" s="171" t="s">
        <v>283</v>
      </c>
      <c r="G210" s="171" t="s">
        <v>852</v>
      </c>
      <c r="H210" s="156" t="s">
        <v>853</v>
      </c>
      <c r="I210" s="156" t="s">
        <v>776</v>
      </c>
    </row>
    <row r="211" spans="1:9" ht="12.75">
      <c r="A211" t="s">
        <v>839</v>
      </c>
      <c r="B211" s="168">
        <v>10</v>
      </c>
      <c r="C211" s="168">
        <v>0</v>
      </c>
      <c r="D211" s="156" t="s">
        <v>765</v>
      </c>
      <c r="E211" s="156" t="s">
        <v>369</v>
      </c>
      <c r="F211" s="171" t="s">
        <v>285</v>
      </c>
      <c r="G211" s="171" t="s">
        <v>110</v>
      </c>
      <c r="H211" s="156" t="s">
        <v>634</v>
      </c>
      <c r="I211" s="156" t="s">
        <v>575</v>
      </c>
    </row>
    <row r="212" spans="1:9" ht="12.75">
      <c r="A212" t="s">
        <v>830</v>
      </c>
      <c r="B212" s="168">
        <v>8</v>
      </c>
      <c r="C212" s="168">
        <v>0</v>
      </c>
      <c r="D212" s="156" t="s">
        <v>766</v>
      </c>
      <c r="E212" s="156" t="s">
        <v>369</v>
      </c>
      <c r="F212" s="171" t="s">
        <v>285</v>
      </c>
      <c r="G212" s="171" t="s">
        <v>55</v>
      </c>
      <c r="H212" s="156" t="s">
        <v>1103</v>
      </c>
      <c r="I212" s="156" t="s">
        <v>875</v>
      </c>
    </row>
    <row r="213" spans="1:9" ht="12.75">
      <c r="A213" t="s">
        <v>831</v>
      </c>
      <c r="B213" s="168">
        <v>8</v>
      </c>
      <c r="C213" s="168">
        <v>0</v>
      </c>
      <c r="D213" s="156" t="s">
        <v>767</v>
      </c>
      <c r="E213" s="156" t="s">
        <v>369</v>
      </c>
      <c r="F213" s="171" t="s">
        <v>285</v>
      </c>
      <c r="G213" s="171" t="s">
        <v>110</v>
      </c>
      <c r="H213" s="156" t="s">
        <v>875</v>
      </c>
      <c r="I213" s="156" t="s">
        <v>107</v>
      </c>
    </row>
    <row r="214" spans="1:9" ht="12.75">
      <c r="A214" t="s">
        <v>820</v>
      </c>
      <c r="B214" s="168">
        <v>4</v>
      </c>
      <c r="C214" s="168">
        <v>15</v>
      </c>
      <c r="D214" s="156" t="s">
        <v>380</v>
      </c>
      <c r="E214" s="171" t="s">
        <v>266</v>
      </c>
      <c r="F214" s="171" t="s">
        <v>284</v>
      </c>
      <c r="G214" s="171" t="s">
        <v>285</v>
      </c>
      <c r="H214" s="156" t="s">
        <v>267</v>
      </c>
      <c r="I214" s="156" t="s">
        <v>968</v>
      </c>
    </row>
    <row r="215" spans="1:9" ht="12.75">
      <c r="A215" t="s">
        <v>821</v>
      </c>
      <c r="B215" s="168">
        <v>5</v>
      </c>
      <c r="C215" s="168">
        <v>11</v>
      </c>
      <c r="D215" s="156" t="s">
        <v>1133</v>
      </c>
      <c r="E215" s="171" t="s">
        <v>266</v>
      </c>
      <c r="F215" s="171" t="s">
        <v>284</v>
      </c>
      <c r="G215" s="171" t="s">
        <v>285</v>
      </c>
      <c r="H215" s="156" t="s">
        <v>267</v>
      </c>
      <c r="I215" s="156" t="s">
        <v>968</v>
      </c>
    </row>
    <row r="216" spans="1:16" ht="12.75">
      <c r="A216" t="s">
        <v>823</v>
      </c>
      <c r="B216" s="168">
        <v>7</v>
      </c>
      <c r="C216" s="168">
        <v>3</v>
      </c>
      <c r="D216" s="156" t="s">
        <v>713</v>
      </c>
      <c r="E216" s="171" t="s">
        <v>1086</v>
      </c>
      <c r="F216" s="171" t="s">
        <v>873</v>
      </c>
      <c r="G216" s="171" t="s">
        <v>270</v>
      </c>
      <c r="H216" s="156" t="s">
        <v>271</v>
      </c>
      <c r="I216" s="156" t="s">
        <v>875</v>
      </c>
      <c r="L216" s="171"/>
      <c r="M216" s="172"/>
      <c r="N216" s="171"/>
      <c r="O216" s="156"/>
      <c r="P216" s="156"/>
    </row>
    <row r="217" spans="1:16" ht="12.75">
      <c r="A217" t="s">
        <v>508</v>
      </c>
      <c r="B217" s="168">
        <v>8</v>
      </c>
      <c r="C217" s="168">
        <v>3</v>
      </c>
      <c r="D217" s="156" t="s">
        <v>713</v>
      </c>
      <c r="E217" s="171" t="s">
        <v>1086</v>
      </c>
      <c r="F217" s="171" t="s">
        <v>873</v>
      </c>
      <c r="G217" s="171" t="s">
        <v>270</v>
      </c>
      <c r="H217" s="156" t="s">
        <v>271</v>
      </c>
      <c r="I217" s="156" t="s">
        <v>875</v>
      </c>
      <c r="L217" s="171"/>
      <c r="M217" s="171"/>
      <c r="N217" s="171"/>
      <c r="O217" s="156"/>
      <c r="P217" s="156"/>
    </row>
    <row r="218" spans="1:16" ht="12.75">
      <c r="A218" t="s">
        <v>1219</v>
      </c>
      <c r="B218" s="168">
        <v>7</v>
      </c>
      <c r="C218" s="168">
        <v>8</v>
      </c>
      <c r="D218" s="156" t="s">
        <v>381</v>
      </c>
      <c r="E218" s="171" t="s">
        <v>1086</v>
      </c>
      <c r="F218" s="171" t="s">
        <v>283</v>
      </c>
      <c r="G218" s="171" t="s">
        <v>852</v>
      </c>
      <c r="H218" s="156" t="s">
        <v>853</v>
      </c>
      <c r="I218" s="156" t="s">
        <v>776</v>
      </c>
      <c r="L218" s="171"/>
      <c r="M218" s="171"/>
      <c r="N218" s="171"/>
      <c r="O218" s="156"/>
      <c r="P218" s="156"/>
    </row>
    <row r="219" spans="1:16" ht="12.75">
      <c r="A219" t="s">
        <v>952</v>
      </c>
      <c r="B219" s="168">
        <v>11</v>
      </c>
      <c r="C219" s="168">
        <v>0</v>
      </c>
      <c r="D219" s="156" t="s">
        <v>768</v>
      </c>
      <c r="E219" s="156" t="s">
        <v>369</v>
      </c>
      <c r="F219" s="171" t="s">
        <v>285</v>
      </c>
      <c r="G219" s="171" t="s">
        <v>110</v>
      </c>
      <c r="H219" s="156" t="s">
        <v>634</v>
      </c>
      <c r="I219" s="156" t="s">
        <v>575</v>
      </c>
      <c r="L219" s="171"/>
      <c r="M219" s="171"/>
      <c r="N219" s="171"/>
      <c r="O219" s="156"/>
      <c r="P219" s="156"/>
    </row>
    <row r="220" spans="1:16" ht="12.75">
      <c r="A220" t="s">
        <v>509</v>
      </c>
      <c r="B220" s="168">
        <v>9</v>
      </c>
      <c r="C220" s="168">
        <v>0</v>
      </c>
      <c r="D220" s="156" t="s">
        <v>769</v>
      </c>
      <c r="E220" s="156" t="s">
        <v>369</v>
      </c>
      <c r="F220" s="171" t="s">
        <v>285</v>
      </c>
      <c r="G220" s="171" t="s">
        <v>55</v>
      </c>
      <c r="H220" s="156" t="s">
        <v>1103</v>
      </c>
      <c r="I220" s="156" t="s">
        <v>875</v>
      </c>
      <c r="L220" s="171"/>
      <c r="M220" s="171"/>
      <c r="N220" s="171"/>
      <c r="O220" s="156"/>
      <c r="P220" s="156"/>
    </row>
    <row r="221" spans="1:16" ht="12.75">
      <c r="A221" t="s">
        <v>510</v>
      </c>
      <c r="B221" s="168">
        <v>10</v>
      </c>
      <c r="C221" s="168">
        <v>0</v>
      </c>
      <c r="D221" s="156" t="s">
        <v>770</v>
      </c>
      <c r="E221" s="156" t="s">
        <v>369</v>
      </c>
      <c r="F221" s="171" t="s">
        <v>285</v>
      </c>
      <c r="G221" s="171" t="s">
        <v>110</v>
      </c>
      <c r="H221" s="156" t="s">
        <v>875</v>
      </c>
      <c r="I221" s="156" t="s">
        <v>107</v>
      </c>
      <c r="L221" s="171"/>
      <c r="M221" s="171"/>
      <c r="N221" s="171"/>
      <c r="O221" s="156"/>
      <c r="P221" s="156"/>
    </row>
    <row r="222" spans="1:16" ht="12.75">
      <c r="A222" t="s">
        <v>1065</v>
      </c>
      <c r="B222" s="168">
        <v>6</v>
      </c>
      <c r="C222" s="168">
        <v>11</v>
      </c>
      <c r="D222" s="156" t="s">
        <v>1133</v>
      </c>
      <c r="E222" s="171" t="s">
        <v>266</v>
      </c>
      <c r="F222" s="171" t="s">
        <v>284</v>
      </c>
      <c r="G222" s="171" t="s">
        <v>285</v>
      </c>
      <c r="H222" s="156" t="s">
        <v>267</v>
      </c>
      <c r="I222" s="156" t="s">
        <v>968</v>
      </c>
      <c r="L222" s="171"/>
      <c r="M222" s="171"/>
      <c r="N222" s="171"/>
      <c r="O222" s="156"/>
      <c r="P222" s="156"/>
    </row>
    <row r="223" spans="1:16" ht="12.75">
      <c r="A223" t="s">
        <v>701</v>
      </c>
      <c r="B223" s="168">
        <v>8</v>
      </c>
      <c r="C223" s="168">
        <v>3</v>
      </c>
      <c r="D223" s="156" t="s">
        <v>713</v>
      </c>
      <c r="E223" s="171" t="s">
        <v>1086</v>
      </c>
      <c r="F223" s="171" t="s">
        <v>873</v>
      </c>
      <c r="G223" s="171" t="s">
        <v>270</v>
      </c>
      <c r="H223" s="156" t="s">
        <v>271</v>
      </c>
      <c r="I223" s="156" t="s">
        <v>875</v>
      </c>
      <c r="L223" s="156"/>
      <c r="M223" s="171"/>
      <c r="N223" s="171"/>
      <c r="O223" s="156"/>
      <c r="P223" s="156"/>
    </row>
    <row r="224" spans="1:16" ht="12.75">
      <c r="A224" t="s">
        <v>793</v>
      </c>
      <c r="B224" s="168">
        <v>8</v>
      </c>
      <c r="C224" s="168">
        <v>3</v>
      </c>
      <c r="D224" s="156" t="s">
        <v>713</v>
      </c>
      <c r="E224" s="171" t="s">
        <v>1086</v>
      </c>
      <c r="F224" s="171" t="s">
        <v>873</v>
      </c>
      <c r="G224" s="171" t="s">
        <v>270</v>
      </c>
      <c r="H224" s="156" t="s">
        <v>271</v>
      </c>
      <c r="I224" s="156" t="s">
        <v>875</v>
      </c>
      <c r="L224" s="156"/>
      <c r="M224" s="171"/>
      <c r="N224" s="171"/>
      <c r="O224" s="156"/>
      <c r="P224" s="156"/>
    </row>
    <row r="225" spans="1:16" ht="12.75">
      <c r="A225" t="s">
        <v>526</v>
      </c>
      <c r="B225" s="168">
        <v>7</v>
      </c>
      <c r="C225" s="168">
        <v>8</v>
      </c>
      <c r="D225" s="156" t="s">
        <v>1133</v>
      </c>
      <c r="E225" s="171" t="s">
        <v>1086</v>
      </c>
      <c r="F225" s="171" t="s">
        <v>283</v>
      </c>
      <c r="G225" s="171" t="s">
        <v>852</v>
      </c>
      <c r="H225" s="156" t="s">
        <v>853</v>
      </c>
      <c r="I225" s="156" t="s">
        <v>776</v>
      </c>
      <c r="L225" s="156"/>
      <c r="M225" s="171"/>
      <c r="N225" s="171"/>
      <c r="O225" s="156"/>
      <c r="P225" s="156"/>
    </row>
    <row r="226" spans="1:16" ht="12.75">
      <c r="A226" t="s">
        <v>593</v>
      </c>
      <c r="B226" s="168">
        <v>11</v>
      </c>
      <c r="C226" s="168">
        <v>0</v>
      </c>
      <c r="D226" s="156" t="s">
        <v>765</v>
      </c>
      <c r="E226" s="156" t="s">
        <v>369</v>
      </c>
      <c r="F226" s="171" t="s">
        <v>285</v>
      </c>
      <c r="G226" s="171" t="s">
        <v>110</v>
      </c>
      <c r="H226" s="156" t="s">
        <v>634</v>
      </c>
      <c r="I226" s="156" t="s">
        <v>575</v>
      </c>
      <c r="L226" s="156"/>
      <c r="M226" s="171"/>
      <c r="N226" s="171"/>
      <c r="O226" s="156"/>
      <c r="P226" s="156"/>
    </row>
    <row r="227" spans="1:16" ht="12.75">
      <c r="A227" t="s">
        <v>794</v>
      </c>
      <c r="B227" s="168">
        <v>9</v>
      </c>
      <c r="C227" s="168">
        <v>0</v>
      </c>
      <c r="D227" s="156" t="s">
        <v>766</v>
      </c>
      <c r="E227" s="156" t="s">
        <v>369</v>
      </c>
      <c r="F227" s="171" t="s">
        <v>285</v>
      </c>
      <c r="G227" s="171" t="s">
        <v>55</v>
      </c>
      <c r="H227" s="156" t="s">
        <v>1103</v>
      </c>
      <c r="I227" s="156" t="s">
        <v>875</v>
      </c>
      <c r="L227" s="156"/>
      <c r="M227" s="171"/>
      <c r="N227" s="171"/>
      <c r="O227" s="156"/>
      <c r="P227" s="156"/>
    </row>
    <row r="228" spans="1:16" ht="12.75">
      <c r="A228" t="s">
        <v>592</v>
      </c>
      <c r="B228" s="168">
        <v>10</v>
      </c>
      <c r="C228" s="168">
        <v>0</v>
      </c>
      <c r="D228" s="156" t="s">
        <v>767</v>
      </c>
      <c r="E228" s="156" t="s">
        <v>369</v>
      </c>
      <c r="F228" s="171" t="s">
        <v>285</v>
      </c>
      <c r="G228" s="171" t="s">
        <v>110</v>
      </c>
      <c r="H228" s="156" t="s">
        <v>875</v>
      </c>
      <c r="I228" s="156" t="s">
        <v>107</v>
      </c>
      <c r="L228" s="156"/>
      <c r="M228" s="171"/>
      <c r="N228" s="171"/>
      <c r="O228" s="156"/>
      <c r="P228" s="156"/>
    </row>
    <row r="229" spans="1:9" ht="12.75">
      <c r="A229" t="s">
        <v>1066</v>
      </c>
      <c r="B229" s="168">
        <v>5</v>
      </c>
      <c r="C229" s="168">
        <v>15</v>
      </c>
      <c r="D229" s="156" t="s">
        <v>380</v>
      </c>
      <c r="E229" s="171" t="s">
        <v>266</v>
      </c>
      <c r="F229" s="171" t="s">
        <v>284</v>
      </c>
      <c r="G229" s="171" t="s">
        <v>285</v>
      </c>
      <c r="H229" s="156" t="s">
        <v>267</v>
      </c>
      <c r="I229" s="156" t="s">
        <v>968</v>
      </c>
    </row>
    <row r="230" spans="1:9" ht="12.75">
      <c r="A230" t="s">
        <v>1067</v>
      </c>
      <c r="B230" s="168">
        <v>6</v>
      </c>
      <c r="C230" s="168">
        <v>11</v>
      </c>
      <c r="D230" s="156" t="s">
        <v>1133</v>
      </c>
      <c r="E230" s="171" t="s">
        <v>266</v>
      </c>
      <c r="F230" s="171" t="s">
        <v>284</v>
      </c>
      <c r="G230" s="171" t="s">
        <v>285</v>
      </c>
      <c r="H230" s="156" t="s">
        <v>267</v>
      </c>
      <c r="I230" s="156" t="s">
        <v>968</v>
      </c>
    </row>
    <row r="231" spans="1:9" ht="12.75">
      <c r="A231" t="s">
        <v>527</v>
      </c>
      <c r="B231" s="168">
        <v>8</v>
      </c>
      <c r="C231" s="168">
        <v>3</v>
      </c>
      <c r="D231" s="156" t="s">
        <v>713</v>
      </c>
      <c r="E231" s="171" t="s">
        <v>1086</v>
      </c>
      <c r="F231" s="171" t="s">
        <v>873</v>
      </c>
      <c r="G231" s="171" t="s">
        <v>270</v>
      </c>
      <c r="H231" s="156" t="s">
        <v>271</v>
      </c>
      <c r="I231" s="156" t="s">
        <v>875</v>
      </c>
    </row>
    <row r="232" spans="1:9" ht="12.75">
      <c r="A232" t="s">
        <v>1224</v>
      </c>
      <c r="B232" s="168">
        <v>9</v>
      </c>
      <c r="C232" s="168">
        <v>3</v>
      </c>
      <c r="D232" s="156" t="s">
        <v>713</v>
      </c>
      <c r="E232" s="171" t="s">
        <v>1086</v>
      </c>
      <c r="F232" s="171" t="s">
        <v>873</v>
      </c>
      <c r="G232" s="171" t="s">
        <v>270</v>
      </c>
      <c r="H232" s="156" t="s">
        <v>271</v>
      </c>
      <c r="I232" s="156" t="s">
        <v>875</v>
      </c>
    </row>
    <row r="233" spans="1:9" ht="12.75">
      <c r="A233" t="s">
        <v>1215</v>
      </c>
      <c r="B233" s="168">
        <v>8</v>
      </c>
      <c r="C233" s="168">
        <v>8</v>
      </c>
      <c r="D233" s="156" t="s">
        <v>381</v>
      </c>
      <c r="E233" s="171" t="s">
        <v>1086</v>
      </c>
      <c r="F233" s="171" t="s">
        <v>283</v>
      </c>
      <c r="G233" s="171" t="s">
        <v>852</v>
      </c>
      <c r="H233" s="156" t="s">
        <v>853</v>
      </c>
      <c r="I233" s="156" t="s">
        <v>776</v>
      </c>
    </row>
    <row r="234" spans="1:9" ht="12.75">
      <c r="A234" t="s">
        <v>1018</v>
      </c>
      <c r="B234" s="168">
        <v>12</v>
      </c>
      <c r="C234" s="168">
        <v>0</v>
      </c>
      <c r="D234" s="156" t="s">
        <v>768</v>
      </c>
      <c r="E234" s="156" t="s">
        <v>369</v>
      </c>
      <c r="F234" s="171" t="s">
        <v>285</v>
      </c>
      <c r="G234" s="171" t="s">
        <v>110</v>
      </c>
      <c r="H234" s="156" t="s">
        <v>634</v>
      </c>
      <c r="I234" s="156" t="s">
        <v>575</v>
      </c>
    </row>
    <row r="235" spans="1:9" ht="12.75">
      <c r="A235" t="s">
        <v>1230</v>
      </c>
      <c r="B235" s="168">
        <v>10</v>
      </c>
      <c r="C235" s="168">
        <v>0</v>
      </c>
      <c r="D235" s="156" t="s">
        <v>769</v>
      </c>
      <c r="E235" s="156" t="s">
        <v>369</v>
      </c>
      <c r="F235" s="171" t="s">
        <v>285</v>
      </c>
      <c r="G235" s="171" t="s">
        <v>55</v>
      </c>
      <c r="H235" s="156" t="s">
        <v>1103</v>
      </c>
      <c r="I235" s="156" t="s">
        <v>875</v>
      </c>
    </row>
    <row r="236" spans="1:9" ht="12.75">
      <c r="A236" t="s">
        <v>1017</v>
      </c>
      <c r="B236" s="168">
        <v>11</v>
      </c>
      <c r="C236" s="168">
        <v>0</v>
      </c>
      <c r="D236" s="156" t="s">
        <v>770</v>
      </c>
      <c r="E236" s="156" t="s">
        <v>369</v>
      </c>
      <c r="F236" s="171" t="s">
        <v>285</v>
      </c>
      <c r="G236" s="171" t="s">
        <v>110</v>
      </c>
      <c r="H236" s="156" t="s">
        <v>875</v>
      </c>
      <c r="I236" s="156" t="s">
        <v>107</v>
      </c>
    </row>
    <row r="237" spans="1:9" ht="12.75">
      <c r="A237" t="s">
        <v>1214</v>
      </c>
      <c r="B237" s="168">
        <v>7</v>
      </c>
      <c r="C237" s="168">
        <v>11</v>
      </c>
      <c r="D237" s="156" t="s">
        <v>1133</v>
      </c>
      <c r="E237" s="171" t="s">
        <v>266</v>
      </c>
      <c r="F237" s="171" t="s">
        <v>284</v>
      </c>
      <c r="G237" s="171" t="s">
        <v>285</v>
      </c>
      <c r="H237" s="156" t="s">
        <v>267</v>
      </c>
      <c r="I237" s="156" t="s">
        <v>968</v>
      </c>
    </row>
    <row r="238" spans="1:9" ht="12.75">
      <c r="A238" t="s">
        <v>1223</v>
      </c>
      <c r="B238" s="168">
        <v>9</v>
      </c>
      <c r="C238" s="168">
        <v>3</v>
      </c>
      <c r="D238" s="156" t="s">
        <v>713</v>
      </c>
      <c r="E238" s="171" t="s">
        <v>1086</v>
      </c>
      <c r="F238" s="171" t="s">
        <v>873</v>
      </c>
      <c r="G238" s="171" t="s">
        <v>270</v>
      </c>
      <c r="H238" s="156" t="s">
        <v>271</v>
      </c>
      <c r="I238" s="156" t="s">
        <v>875</v>
      </c>
    </row>
    <row r="239" spans="1:9" ht="12.75">
      <c r="A239" t="s">
        <v>687</v>
      </c>
      <c r="B239" s="168">
        <v>9</v>
      </c>
      <c r="C239" s="168">
        <v>3</v>
      </c>
      <c r="D239" s="156" t="s">
        <v>713</v>
      </c>
      <c r="E239" s="171" t="s">
        <v>1086</v>
      </c>
      <c r="F239" s="171" t="s">
        <v>873</v>
      </c>
      <c r="G239" s="171" t="s">
        <v>270</v>
      </c>
      <c r="H239" s="156" t="s">
        <v>271</v>
      </c>
      <c r="I239" s="156" t="s">
        <v>875</v>
      </c>
    </row>
    <row r="240" spans="1:9" ht="12.75">
      <c r="A240" t="s">
        <v>596</v>
      </c>
      <c r="B240" s="168">
        <v>8</v>
      </c>
      <c r="C240" s="168">
        <v>8</v>
      </c>
      <c r="D240" s="156" t="s">
        <v>1133</v>
      </c>
      <c r="E240" s="171" t="s">
        <v>1086</v>
      </c>
      <c r="F240" s="171" t="s">
        <v>283</v>
      </c>
      <c r="G240" s="171" t="s">
        <v>852</v>
      </c>
      <c r="H240" s="156" t="s">
        <v>853</v>
      </c>
      <c r="I240" s="156" t="s">
        <v>776</v>
      </c>
    </row>
    <row r="241" spans="1:9" ht="12.75">
      <c r="A241" t="s">
        <v>276</v>
      </c>
      <c r="B241" s="168">
        <v>12</v>
      </c>
      <c r="C241" s="168">
        <v>0</v>
      </c>
      <c r="D241" s="156" t="s">
        <v>765</v>
      </c>
      <c r="E241" s="156" t="s">
        <v>369</v>
      </c>
      <c r="F241" s="171" t="s">
        <v>285</v>
      </c>
      <c r="G241" s="171" t="s">
        <v>110</v>
      </c>
      <c r="H241" s="156" t="s">
        <v>634</v>
      </c>
      <c r="I241" s="156" t="s">
        <v>575</v>
      </c>
    </row>
    <row r="242" spans="1:9" ht="12.75">
      <c r="A242" t="s">
        <v>686</v>
      </c>
      <c r="B242" s="168">
        <v>10</v>
      </c>
      <c r="C242" s="168">
        <v>0</v>
      </c>
      <c r="D242" s="156" t="s">
        <v>766</v>
      </c>
      <c r="E242" s="156" t="s">
        <v>369</v>
      </c>
      <c r="F242" s="171" t="s">
        <v>285</v>
      </c>
      <c r="G242" s="171" t="s">
        <v>55</v>
      </c>
      <c r="H242" s="156" t="s">
        <v>1103</v>
      </c>
      <c r="I242" s="156" t="s">
        <v>875</v>
      </c>
    </row>
    <row r="243" spans="1:9" ht="12.75">
      <c r="A243" t="s">
        <v>480</v>
      </c>
      <c r="B243" s="168">
        <v>11</v>
      </c>
      <c r="C243" s="168">
        <v>0</v>
      </c>
      <c r="D243" s="156" t="s">
        <v>767</v>
      </c>
      <c r="E243" s="156" t="s">
        <v>369</v>
      </c>
      <c r="F243" s="171" t="s">
        <v>285</v>
      </c>
      <c r="G243" s="171" t="s">
        <v>110</v>
      </c>
      <c r="H243" s="156" t="s">
        <v>875</v>
      </c>
      <c r="I243" s="156" t="s">
        <v>107</v>
      </c>
    </row>
    <row r="244" spans="1:9" ht="12.75">
      <c r="A244" t="s">
        <v>594</v>
      </c>
      <c r="B244" s="168">
        <v>6</v>
      </c>
      <c r="C244" s="168">
        <v>15</v>
      </c>
      <c r="D244" s="156" t="s">
        <v>380</v>
      </c>
      <c r="E244" s="171" t="s">
        <v>266</v>
      </c>
      <c r="F244" s="171" t="s">
        <v>284</v>
      </c>
      <c r="G244" s="171" t="s">
        <v>285</v>
      </c>
      <c r="H244" s="156" t="s">
        <v>267</v>
      </c>
      <c r="I244" s="156" t="s">
        <v>968</v>
      </c>
    </row>
    <row r="245" spans="1:9" ht="12.75">
      <c r="A245" t="s">
        <v>595</v>
      </c>
      <c r="B245" s="168">
        <v>7</v>
      </c>
      <c r="C245" s="168">
        <v>11</v>
      </c>
      <c r="D245" s="156" t="s">
        <v>1133</v>
      </c>
      <c r="E245" s="171" t="s">
        <v>266</v>
      </c>
      <c r="F245" s="171" t="s">
        <v>284</v>
      </c>
      <c r="G245" s="171" t="s">
        <v>285</v>
      </c>
      <c r="H245" s="156" t="s">
        <v>267</v>
      </c>
      <c r="I245" s="156" t="s">
        <v>968</v>
      </c>
    </row>
    <row r="246" spans="1:9" ht="12.75">
      <c r="A246" t="s">
        <v>597</v>
      </c>
      <c r="B246" s="168">
        <v>9</v>
      </c>
      <c r="C246" s="168">
        <v>3</v>
      </c>
      <c r="D246" s="156" t="s">
        <v>713</v>
      </c>
      <c r="E246" s="171" t="s">
        <v>1086</v>
      </c>
      <c r="F246" s="171" t="s">
        <v>873</v>
      </c>
      <c r="G246" s="171" t="s">
        <v>270</v>
      </c>
      <c r="H246" s="156" t="s">
        <v>271</v>
      </c>
      <c r="I246" s="156" t="s">
        <v>875</v>
      </c>
    </row>
    <row r="247" spans="1:9" ht="12.75">
      <c r="A247" t="s">
        <v>172</v>
      </c>
      <c r="B247" s="168">
        <v>10</v>
      </c>
      <c r="C247" s="168">
        <v>3</v>
      </c>
      <c r="D247" s="156" t="s">
        <v>713</v>
      </c>
      <c r="E247" s="171" t="s">
        <v>1086</v>
      </c>
      <c r="F247" s="171" t="s">
        <v>873</v>
      </c>
      <c r="G247" s="171" t="s">
        <v>270</v>
      </c>
      <c r="H247" s="156" t="s">
        <v>271</v>
      </c>
      <c r="I247" s="156" t="s">
        <v>875</v>
      </c>
    </row>
    <row r="248" spans="1:9" ht="12.75">
      <c r="A248" t="s">
        <v>167</v>
      </c>
      <c r="B248" s="168">
        <v>9</v>
      </c>
      <c r="C248" s="168">
        <v>8</v>
      </c>
      <c r="D248" s="156" t="s">
        <v>381</v>
      </c>
      <c r="E248" s="171" t="s">
        <v>1086</v>
      </c>
      <c r="F248" s="171" t="s">
        <v>283</v>
      </c>
      <c r="G248" s="171" t="s">
        <v>852</v>
      </c>
      <c r="H248" s="156" t="s">
        <v>853</v>
      </c>
      <c r="I248" s="156" t="s">
        <v>776</v>
      </c>
    </row>
    <row r="249" spans="1:9" ht="12.75">
      <c r="A249" t="s">
        <v>504</v>
      </c>
      <c r="B249" s="168">
        <v>13</v>
      </c>
      <c r="C249" s="168">
        <v>0</v>
      </c>
      <c r="D249" s="156" t="s">
        <v>768</v>
      </c>
      <c r="E249" s="156" t="s">
        <v>369</v>
      </c>
      <c r="F249" s="171" t="s">
        <v>285</v>
      </c>
      <c r="G249" s="171" t="s">
        <v>110</v>
      </c>
      <c r="H249" s="156" t="s">
        <v>634</v>
      </c>
      <c r="I249" s="156" t="s">
        <v>575</v>
      </c>
    </row>
    <row r="250" spans="1:9" ht="12.75">
      <c r="A250" t="s">
        <v>173</v>
      </c>
      <c r="B250" s="168">
        <v>11</v>
      </c>
      <c r="C250" s="168">
        <v>0</v>
      </c>
      <c r="D250" s="156" t="s">
        <v>769</v>
      </c>
      <c r="E250" s="156" t="s">
        <v>369</v>
      </c>
      <c r="F250" s="171" t="s">
        <v>285</v>
      </c>
      <c r="G250" s="171" t="s">
        <v>55</v>
      </c>
      <c r="H250" s="156" t="s">
        <v>1103</v>
      </c>
      <c r="I250" s="156" t="s">
        <v>875</v>
      </c>
    </row>
    <row r="251" spans="1:9" ht="12.75">
      <c r="A251" t="s">
        <v>174</v>
      </c>
      <c r="B251" s="168">
        <v>12</v>
      </c>
      <c r="C251" s="168">
        <v>0</v>
      </c>
      <c r="D251" s="156" t="s">
        <v>770</v>
      </c>
      <c r="E251" s="156" t="s">
        <v>369</v>
      </c>
      <c r="F251" s="171" t="s">
        <v>285</v>
      </c>
      <c r="G251" s="171" t="s">
        <v>110</v>
      </c>
      <c r="H251" s="156" t="s">
        <v>875</v>
      </c>
      <c r="I251" s="156" t="s">
        <v>107</v>
      </c>
    </row>
    <row r="252" spans="1:9" ht="12.75">
      <c r="A252" t="s">
        <v>1019</v>
      </c>
      <c r="B252" s="168">
        <v>8</v>
      </c>
      <c r="C252" s="168">
        <v>11</v>
      </c>
      <c r="D252" s="156" t="s">
        <v>1133</v>
      </c>
      <c r="E252" s="171" t="s">
        <v>266</v>
      </c>
      <c r="F252" s="171" t="s">
        <v>284</v>
      </c>
      <c r="G252" s="171" t="s">
        <v>285</v>
      </c>
      <c r="H252" s="156" t="s">
        <v>267</v>
      </c>
      <c r="I252" s="156" t="s">
        <v>968</v>
      </c>
    </row>
    <row r="253" spans="1:9" ht="12.75">
      <c r="A253" t="s">
        <v>5</v>
      </c>
      <c r="B253" s="168">
        <v>10</v>
      </c>
      <c r="C253" s="168">
        <v>3</v>
      </c>
      <c r="D253" s="156" t="s">
        <v>713</v>
      </c>
      <c r="E253" s="171" t="s">
        <v>1086</v>
      </c>
      <c r="F253" s="171" t="s">
        <v>873</v>
      </c>
      <c r="G253" s="171" t="s">
        <v>270</v>
      </c>
      <c r="H253" s="156" t="s">
        <v>271</v>
      </c>
      <c r="I253" s="156" t="s">
        <v>875</v>
      </c>
    </row>
    <row r="254" spans="2:5" ht="12.75">
      <c r="B254" s="156"/>
      <c r="C254" s="156"/>
      <c r="D254" s="156"/>
      <c r="E254" s="156"/>
    </row>
    <row r="255" spans="2:5" ht="12.75">
      <c r="B255" s="156"/>
      <c r="C255" s="156"/>
      <c r="D255" s="156"/>
      <c r="E255" s="156"/>
    </row>
    <row r="256" spans="2:5" ht="12.75">
      <c r="B256" s="156"/>
      <c r="C256" s="156"/>
      <c r="D256" s="156"/>
      <c r="E256" s="156"/>
    </row>
    <row r="257" spans="2:5" ht="12.75">
      <c r="B257" s="156"/>
      <c r="C257" s="156"/>
      <c r="D257" s="156"/>
      <c r="E257" s="156"/>
    </row>
    <row r="258" spans="2:5" ht="12.75">
      <c r="B258" s="156"/>
      <c r="C258" s="156"/>
      <c r="D258" s="156"/>
      <c r="E258" s="156"/>
    </row>
    <row r="259" spans="2:5" ht="12.75">
      <c r="B259" s="156"/>
      <c r="C259" s="156"/>
      <c r="D259" s="156"/>
      <c r="E259" s="15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Lenox</dc:creator>
  <cp:keywords/>
  <dc:description/>
  <cp:lastModifiedBy>William Lenox</cp:lastModifiedBy>
  <cp:lastPrinted>2007-01-15T21:52:23Z</cp:lastPrinted>
  <dcterms:created xsi:type="dcterms:W3CDTF">2002-04-02T03:07:14Z</dcterms:created>
  <cp:category/>
  <cp:version/>
  <cp:contentType/>
  <cp:contentStatus/>
</cp:coreProperties>
</file>